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hidePivotFieldList="1" defaultThemeVersion="124226"/>
  <xr:revisionPtr revIDLastSave="0" documentId="13_ncr:1_{6D8DCA90-1DE4-49BF-9E27-73B0DA9B6B17}" xr6:coauthVersionLast="47" xr6:coauthVersionMax="47" xr10:uidLastSave="{00000000-0000-0000-0000-000000000000}"/>
  <bookViews>
    <workbookView xWindow="-120" yWindow="-120" windowWidth="29040" windowHeight="15840" tabRatio="660" xr2:uid="{00000000-000D-0000-FFFF-FFFF00000000}"/>
  </bookViews>
  <sheets>
    <sheet name="Wk - Margins" sheetId="85" r:id="rId1"/>
    <sheet name="Input - Bookings" sheetId="86" r:id="rId2"/>
    <sheet name="Currency &amp; Conversion" sheetId="95" r:id="rId3"/>
    <sheet name="AU Freight" sheetId="93" state="hidden" r:id="rId4"/>
    <sheet name="Warranty" sheetId="94" state="hidden" r:id="rId5"/>
    <sheet name="Australia Plants" sheetId="90" state="hidden" r:id="rId6"/>
    <sheet name="AP Plants" sheetId="91" state="hidden" r:id="rId7"/>
    <sheet name="AOP FX" sheetId="92" state="hidden" r:id="rId8"/>
  </sheets>
  <definedNames>
    <definedName name="_xlnm._FilterDatabase" localSheetId="6" hidden="1">'AP Plants'!$A$1:$J$255</definedName>
    <definedName name="_xlnm._FilterDatabase" localSheetId="3" hidden="1">'AU Freight'!$A$3:$I$270</definedName>
    <definedName name="_xlnm._FilterDatabase" localSheetId="5" hidden="1">'Australia Plants'!$A$1:$J$252</definedName>
    <definedName name="_xlnm._FilterDatabase" localSheetId="1" hidden="1">'Input - Bookings'!$A$2:$AK$460</definedName>
    <definedName name="_xlnm._FilterDatabase" localSheetId="0" hidden="1">'Wk - Margins'!$A$2:$AQ$589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5" i="85" l="1"/>
  <c r="AH65" i="85"/>
  <c r="AF65" i="85" a="1"/>
  <c r="AF65" i="85"/>
  <c r="AJ65" i="85"/>
  <c r="AL65" i="85"/>
  <c r="AK65" i="85"/>
  <c r="AM65" i="85"/>
  <c r="AN65" i="85"/>
  <c r="N65" i="85"/>
  <c r="AD265" i="85"/>
  <c r="I575" i="85"/>
  <c r="G575" i="85"/>
  <c r="J575" i="85"/>
  <c r="AG575" i="85"/>
  <c r="I574" i="85"/>
  <c r="G574" i="85"/>
  <c r="J574" i="85"/>
  <c r="AG574" i="85"/>
  <c r="I573" i="85"/>
  <c r="G573" i="85"/>
  <c r="J573" i="85"/>
  <c r="AG573" i="85"/>
  <c r="I572" i="85"/>
  <c r="G572" i="85"/>
  <c r="J572" i="85"/>
  <c r="AG572" i="85"/>
  <c r="I4" i="85"/>
  <c r="U4" i="85"/>
  <c r="I5" i="85"/>
  <c r="U5" i="85"/>
  <c r="I6" i="85"/>
  <c r="U6" i="85"/>
  <c r="I7" i="85"/>
  <c r="U7" i="85"/>
  <c r="I8" i="85"/>
  <c r="U8" i="85"/>
  <c r="I9" i="85"/>
  <c r="U9" i="85"/>
  <c r="I10" i="85"/>
  <c r="U10" i="85"/>
  <c r="I11" i="85"/>
  <c r="U11" i="85"/>
  <c r="I12" i="85"/>
  <c r="U12" i="85"/>
  <c r="I13" i="85"/>
  <c r="U13" i="85"/>
  <c r="I14" i="85"/>
  <c r="U14" i="85"/>
  <c r="I15" i="85"/>
  <c r="U15" i="85"/>
  <c r="I16" i="85"/>
  <c r="U16" i="85"/>
  <c r="I17" i="85"/>
  <c r="U17" i="85"/>
  <c r="I18" i="85"/>
  <c r="U18" i="85"/>
  <c r="I19" i="85"/>
  <c r="U19" i="85"/>
  <c r="I20" i="85"/>
  <c r="U20" i="85"/>
  <c r="I21" i="85"/>
  <c r="U21" i="85"/>
  <c r="I22" i="85"/>
  <c r="U22" i="85"/>
  <c r="I23" i="85"/>
  <c r="U23" i="85"/>
  <c r="I24" i="85"/>
  <c r="U24" i="85"/>
  <c r="I25" i="85"/>
  <c r="U25" i="85"/>
  <c r="I26" i="85"/>
  <c r="U26" i="85"/>
  <c r="I27" i="85"/>
  <c r="U27" i="85"/>
  <c r="I28" i="85"/>
  <c r="U28" i="85"/>
  <c r="I29" i="85"/>
  <c r="U29" i="85"/>
  <c r="I30" i="85"/>
  <c r="U30" i="85"/>
  <c r="I31" i="85"/>
  <c r="U31" i="85"/>
  <c r="I32" i="85"/>
  <c r="U32" i="85"/>
  <c r="I33" i="85"/>
  <c r="U33" i="85"/>
  <c r="I34" i="85"/>
  <c r="U34" i="85"/>
  <c r="I35" i="85"/>
  <c r="U35" i="85"/>
  <c r="I36" i="85"/>
  <c r="U36" i="85"/>
  <c r="I37" i="85"/>
  <c r="U37" i="85"/>
  <c r="I38" i="85"/>
  <c r="U38" i="85"/>
  <c r="I39" i="85"/>
  <c r="U39" i="85"/>
  <c r="I40" i="85"/>
  <c r="U40" i="85"/>
  <c r="I41" i="85"/>
  <c r="U41" i="85"/>
  <c r="I42" i="85"/>
  <c r="U42" i="85"/>
  <c r="I43" i="85"/>
  <c r="U43" i="85"/>
  <c r="I44" i="85"/>
  <c r="U44" i="85"/>
  <c r="I45" i="85"/>
  <c r="U45" i="85"/>
  <c r="I46" i="85"/>
  <c r="U46" i="85"/>
  <c r="I47" i="85"/>
  <c r="U47" i="85"/>
  <c r="I48" i="85"/>
  <c r="U48" i="85"/>
  <c r="I49" i="85"/>
  <c r="U49" i="85"/>
  <c r="I50" i="85"/>
  <c r="U50" i="85"/>
  <c r="I51" i="85"/>
  <c r="U51" i="85"/>
  <c r="I52" i="85"/>
  <c r="U52" i="85"/>
  <c r="I53" i="85"/>
  <c r="U53" i="85"/>
  <c r="I54" i="85"/>
  <c r="U54" i="85"/>
  <c r="I55" i="85"/>
  <c r="U55" i="85"/>
  <c r="I56" i="85"/>
  <c r="U56" i="85"/>
  <c r="I57" i="85"/>
  <c r="U57" i="85"/>
  <c r="I58" i="85"/>
  <c r="U58" i="85"/>
  <c r="I59" i="85"/>
  <c r="U59" i="85"/>
  <c r="I60" i="85"/>
  <c r="U60" i="85"/>
  <c r="I61" i="85"/>
  <c r="U61" i="85"/>
  <c r="I62" i="85"/>
  <c r="U62" i="85"/>
  <c r="I63" i="85"/>
  <c r="U63" i="85"/>
  <c r="I64" i="85"/>
  <c r="U64" i="85"/>
  <c r="I65" i="85"/>
  <c r="U65" i="85"/>
  <c r="I66" i="85"/>
  <c r="U66" i="85"/>
  <c r="I67" i="85"/>
  <c r="U67" i="85"/>
  <c r="I68" i="85"/>
  <c r="U68" i="85"/>
  <c r="I69" i="85"/>
  <c r="U69" i="85"/>
  <c r="I70" i="85"/>
  <c r="U70" i="85"/>
  <c r="I71" i="85"/>
  <c r="U71" i="85"/>
  <c r="I72" i="85"/>
  <c r="U72" i="85"/>
  <c r="I73" i="85"/>
  <c r="U73" i="85"/>
  <c r="I74" i="85"/>
  <c r="U74" i="85"/>
  <c r="I75" i="85"/>
  <c r="U75" i="85"/>
  <c r="I76" i="85"/>
  <c r="U76" i="85"/>
  <c r="I77" i="85"/>
  <c r="U77" i="85"/>
  <c r="I78" i="85"/>
  <c r="U78" i="85"/>
  <c r="I79" i="85"/>
  <c r="U79" i="85"/>
  <c r="I80" i="85"/>
  <c r="U80" i="85"/>
  <c r="I81" i="85"/>
  <c r="U81" i="85"/>
  <c r="I82" i="85"/>
  <c r="U82" i="85"/>
  <c r="I83" i="85"/>
  <c r="U83" i="85"/>
  <c r="I84" i="85"/>
  <c r="U84" i="85"/>
  <c r="I85" i="85"/>
  <c r="U85" i="85"/>
  <c r="I86" i="85"/>
  <c r="U86" i="85"/>
  <c r="I87" i="85"/>
  <c r="U87" i="85"/>
  <c r="I88" i="85"/>
  <c r="U88" i="85"/>
  <c r="I89" i="85"/>
  <c r="U89" i="85"/>
  <c r="I90" i="85"/>
  <c r="U90" i="85"/>
  <c r="I91" i="85"/>
  <c r="U91" i="85"/>
  <c r="I92" i="85"/>
  <c r="U92" i="85"/>
  <c r="I93" i="85"/>
  <c r="U93" i="85"/>
  <c r="I94" i="85"/>
  <c r="U94" i="85"/>
  <c r="I95" i="85"/>
  <c r="U95" i="85"/>
  <c r="I96" i="85"/>
  <c r="U96" i="85"/>
  <c r="I97" i="85"/>
  <c r="U97" i="85"/>
  <c r="I98" i="85"/>
  <c r="U98" i="85"/>
  <c r="I99" i="85"/>
  <c r="U99" i="85"/>
  <c r="I100" i="85"/>
  <c r="U100" i="85"/>
  <c r="I101" i="85"/>
  <c r="U101" i="85"/>
  <c r="I102" i="85"/>
  <c r="U102" i="85"/>
  <c r="I103" i="85"/>
  <c r="U103" i="85"/>
  <c r="I104" i="85"/>
  <c r="U104" i="85"/>
  <c r="I105" i="85"/>
  <c r="U105" i="85"/>
  <c r="I106" i="85"/>
  <c r="U106" i="85"/>
  <c r="I107" i="85"/>
  <c r="U107" i="85"/>
  <c r="I108" i="85"/>
  <c r="U108" i="85"/>
  <c r="I109" i="85"/>
  <c r="U109" i="85"/>
  <c r="I110" i="85"/>
  <c r="U110" i="85"/>
  <c r="I111" i="85"/>
  <c r="U111" i="85"/>
  <c r="I112" i="85"/>
  <c r="U112" i="85"/>
  <c r="I113" i="85"/>
  <c r="U113" i="85"/>
  <c r="I114" i="85"/>
  <c r="U114" i="85"/>
  <c r="I115" i="85"/>
  <c r="U115" i="85"/>
  <c r="I116" i="85"/>
  <c r="U116" i="85"/>
  <c r="I117" i="85"/>
  <c r="U117" i="85"/>
  <c r="I118" i="85"/>
  <c r="U118" i="85"/>
  <c r="I119" i="85"/>
  <c r="U119" i="85"/>
  <c r="I120" i="85"/>
  <c r="U120" i="85"/>
  <c r="I121" i="85"/>
  <c r="U121" i="85"/>
  <c r="I122" i="85"/>
  <c r="U122" i="85"/>
  <c r="I123" i="85"/>
  <c r="U123" i="85"/>
  <c r="I124" i="85"/>
  <c r="U124" i="85"/>
  <c r="I125" i="85"/>
  <c r="U125" i="85"/>
  <c r="I126" i="85"/>
  <c r="U126" i="85"/>
  <c r="I127" i="85"/>
  <c r="U127" i="85"/>
  <c r="I128" i="85"/>
  <c r="U128" i="85"/>
  <c r="I129" i="85"/>
  <c r="U129" i="85"/>
  <c r="I130" i="85"/>
  <c r="U130" i="85"/>
  <c r="I131" i="85"/>
  <c r="U131" i="85"/>
  <c r="I132" i="85"/>
  <c r="U132" i="85"/>
  <c r="I133" i="85"/>
  <c r="U133" i="85"/>
  <c r="I134" i="85"/>
  <c r="U134" i="85"/>
  <c r="I135" i="85"/>
  <c r="U135" i="85"/>
  <c r="I136" i="85"/>
  <c r="U136" i="85"/>
  <c r="I137" i="85"/>
  <c r="U137" i="85"/>
  <c r="I138" i="85"/>
  <c r="U138" i="85"/>
  <c r="I139" i="85"/>
  <c r="U139" i="85"/>
  <c r="I140" i="85"/>
  <c r="U140" i="85"/>
  <c r="I141" i="85"/>
  <c r="U141" i="85"/>
  <c r="I142" i="85"/>
  <c r="U142" i="85"/>
  <c r="I143" i="85"/>
  <c r="U143" i="85"/>
  <c r="I144" i="85"/>
  <c r="U144" i="85"/>
  <c r="I145" i="85"/>
  <c r="U145" i="85"/>
  <c r="I146" i="85"/>
  <c r="U146" i="85"/>
  <c r="I147" i="85"/>
  <c r="U147" i="85"/>
  <c r="I148" i="85"/>
  <c r="U148" i="85"/>
  <c r="I149" i="85"/>
  <c r="U149" i="85"/>
  <c r="I150" i="85"/>
  <c r="U150" i="85"/>
  <c r="I151" i="85"/>
  <c r="U151" i="85"/>
  <c r="I152" i="85"/>
  <c r="U152" i="85"/>
  <c r="I153" i="85"/>
  <c r="U153" i="85"/>
  <c r="I154" i="85"/>
  <c r="U154" i="85"/>
  <c r="I155" i="85"/>
  <c r="U155" i="85"/>
  <c r="I156" i="85"/>
  <c r="U156" i="85"/>
  <c r="I157" i="85"/>
  <c r="U157" i="85"/>
  <c r="I158" i="85"/>
  <c r="U158" i="85"/>
  <c r="I159" i="85"/>
  <c r="U159" i="85"/>
  <c r="I160" i="85"/>
  <c r="U160" i="85"/>
  <c r="I161" i="85"/>
  <c r="U161" i="85"/>
  <c r="I162" i="85"/>
  <c r="U162" i="85"/>
  <c r="I163" i="85"/>
  <c r="U163" i="85"/>
  <c r="I164" i="85"/>
  <c r="U164" i="85"/>
  <c r="I165" i="85"/>
  <c r="U165" i="85"/>
  <c r="I166" i="85"/>
  <c r="U166" i="85"/>
  <c r="I167" i="85"/>
  <c r="U167" i="85"/>
  <c r="I168" i="85"/>
  <c r="U168" i="85"/>
  <c r="I169" i="85"/>
  <c r="U169" i="85"/>
  <c r="I170" i="85"/>
  <c r="U170" i="85"/>
  <c r="I171" i="85"/>
  <c r="U171" i="85"/>
  <c r="I172" i="85"/>
  <c r="U172" i="85"/>
  <c r="I173" i="85"/>
  <c r="U173" i="85"/>
  <c r="I174" i="85"/>
  <c r="U174" i="85"/>
  <c r="I175" i="85"/>
  <c r="U175" i="85"/>
  <c r="I176" i="85"/>
  <c r="U176" i="85"/>
  <c r="I177" i="85"/>
  <c r="U177" i="85"/>
  <c r="I178" i="85"/>
  <c r="U178" i="85"/>
  <c r="I179" i="85"/>
  <c r="U179" i="85"/>
  <c r="I180" i="85"/>
  <c r="U180" i="85"/>
  <c r="I181" i="85"/>
  <c r="U181" i="85"/>
  <c r="I182" i="85"/>
  <c r="U182" i="85"/>
  <c r="I183" i="85"/>
  <c r="U183" i="85"/>
  <c r="I184" i="85"/>
  <c r="U184" i="85"/>
  <c r="I185" i="85"/>
  <c r="U185" i="85"/>
  <c r="I186" i="85"/>
  <c r="U186" i="85"/>
  <c r="I187" i="85"/>
  <c r="U187" i="85"/>
  <c r="I188" i="85"/>
  <c r="U188" i="85"/>
  <c r="I189" i="85"/>
  <c r="U189" i="85"/>
  <c r="I190" i="85"/>
  <c r="U190" i="85"/>
  <c r="I191" i="85"/>
  <c r="U191" i="85"/>
  <c r="I192" i="85"/>
  <c r="U192" i="85"/>
  <c r="I193" i="85"/>
  <c r="U193" i="85"/>
  <c r="I194" i="85"/>
  <c r="U194" i="85"/>
  <c r="I195" i="85"/>
  <c r="U195" i="85"/>
  <c r="I196" i="85"/>
  <c r="U196" i="85"/>
  <c r="I197" i="85"/>
  <c r="U197" i="85"/>
  <c r="I198" i="85"/>
  <c r="U198" i="85"/>
  <c r="I199" i="85"/>
  <c r="U199" i="85"/>
  <c r="I200" i="85"/>
  <c r="U200" i="85"/>
  <c r="I201" i="85"/>
  <c r="U201" i="85"/>
  <c r="I202" i="85"/>
  <c r="U202" i="85"/>
  <c r="I203" i="85"/>
  <c r="U203" i="85"/>
  <c r="I204" i="85"/>
  <c r="U204" i="85"/>
  <c r="I205" i="85"/>
  <c r="U205" i="85"/>
  <c r="I206" i="85"/>
  <c r="U206" i="85"/>
  <c r="I207" i="85"/>
  <c r="U207" i="85"/>
  <c r="I208" i="85"/>
  <c r="U208" i="85"/>
  <c r="I209" i="85"/>
  <c r="U209" i="85"/>
  <c r="I210" i="85"/>
  <c r="U210" i="85"/>
  <c r="I211" i="85"/>
  <c r="U211" i="85"/>
  <c r="I212" i="85"/>
  <c r="U212" i="85"/>
  <c r="I213" i="85"/>
  <c r="U213" i="85"/>
  <c r="I214" i="85"/>
  <c r="U214" i="85"/>
  <c r="I215" i="85"/>
  <c r="U215" i="85"/>
  <c r="I216" i="85"/>
  <c r="U216" i="85"/>
  <c r="I217" i="85"/>
  <c r="U217" i="85"/>
  <c r="I218" i="85"/>
  <c r="U218" i="85"/>
  <c r="I219" i="85"/>
  <c r="U219" i="85"/>
  <c r="I220" i="85"/>
  <c r="U220" i="85"/>
  <c r="I221" i="85"/>
  <c r="U221" i="85"/>
  <c r="I222" i="85"/>
  <c r="U222" i="85"/>
  <c r="I223" i="85"/>
  <c r="U223" i="85"/>
  <c r="I224" i="85"/>
  <c r="U224" i="85"/>
  <c r="I225" i="85"/>
  <c r="U225" i="85"/>
  <c r="I226" i="85"/>
  <c r="U226" i="85"/>
  <c r="I227" i="85"/>
  <c r="U227" i="85"/>
  <c r="I228" i="85"/>
  <c r="U228" i="85"/>
  <c r="I229" i="85"/>
  <c r="U229" i="85"/>
  <c r="I230" i="85"/>
  <c r="U230" i="85"/>
  <c r="I231" i="85"/>
  <c r="U231" i="85"/>
  <c r="I232" i="85"/>
  <c r="U232" i="85"/>
  <c r="I233" i="85"/>
  <c r="U233" i="85"/>
  <c r="I234" i="85"/>
  <c r="U234" i="85"/>
  <c r="I235" i="85"/>
  <c r="U235" i="85"/>
  <c r="I236" i="85"/>
  <c r="U236" i="85"/>
  <c r="I237" i="85"/>
  <c r="U237" i="85"/>
  <c r="I238" i="85"/>
  <c r="U238" i="85"/>
  <c r="I239" i="85"/>
  <c r="U239" i="85"/>
  <c r="I240" i="85"/>
  <c r="U240" i="85"/>
  <c r="I241" i="85"/>
  <c r="U241" i="85"/>
  <c r="I242" i="85"/>
  <c r="U242" i="85"/>
  <c r="I243" i="85"/>
  <c r="U243" i="85"/>
  <c r="I244" i="85"/>
  <c r="U244" i="85"/>
  <c r="I245" i="85"/>
  <c r="U245" i="85"/>
  <c r="I246" i="85"/>
  <c r="U246" i="85"/>
  <c r="I247" i="85"/>
  <c r="U247" i="85"/>
  <c r="I248" i="85"/>
  <c r="U248" i="85"/>
  <c r="I249" i="85"/>
  <c r="U249" i="85"/>
  <c r="I250" i="85"/>
  <c r="U250" i="85"/>
  <c r="I251" i="85"/>
  <c r="U251" i="85"/>
  <c r="I252" i="85"/>
  <c r="U252" i="85"/>
  <c r="I253" i="85"/>
  <c r="U253" i="85"/>
  <c r="I254" i="85"/>
  <c r="U254" i="85"/>
  <c r="I255" i="85"/>
  <c r="U255" i="85"/>
  <c r="I256" i="85"/>
  <c r="U256" i="85"/>
  <c r="I257" i="85"/>
  <c r="U257" i="85"/>
  <c r="I258" i="85"/>
  <c r="U258" i="85"/>
  <c r="I259" i="85"/>
  <c r="U259" i="85"/>
  <c r="I260" i="85"/>
  <c r="U260" i="85"/>
  <c r="I261" i="85"/>
  <c r="U261" i="85"/>
  <c r="I262" i="85"/>
  <c r="U262" i="85"/>
  <c r="I263" i="85"/>
  <c r="U263" i="85"/>
  <c r="I264" i="85"/>
  <c r="U264" i="85"/>
  <c r="I265" i="85"/>
  <c r="U265" i="85"/>
  <c r="I266" i="85"/>
  <c r="U266" i="85"/>
  <c r="I267" i="85"/>
  <c r="U267" i="85"/>
  <c r="I268" i="85"/>
  <c r="U268" i="85"/>
  <c r="I269" i="85"/>
  <c r="U269" i="85"/>
  <c r="I270" i="85"/>
  <c r="U270" i="85"/>
  <c r="I271" i="85"/>
  <c r="U271" i="85"/>
  <c r="I272" i="85"/>
  <c r="U272" i="85"/>
  <c r="I273" i="85"/>
  <c r="U273" i="85"/>
  <c r="I274" i="85"/>
  <c r="U274" i="85"/>
  <c r="I275" i="85"/>
  <c r="U275" i="85"/>
  <c r="I276" i="85"/>
  <c r="U276" i="85"/>
  <c r="I277" i="85"/>
  <c r="U277" i="85"/>
  <c r="I278" i="85"/>
  <c r="U278" i="85"/>
  <c r="I279" i="85"/>
  <c r="U279" i="85"/>
  <c r="I280" i="85"/>
  <c r="U280" i="85"/>
  <c r="I281" i="85"/>
  <c r="U281" i="85"/>
  <c r="I282" i="85"/>
  <c r="U282" i="85"/>
  <c r="I283" i="85"/>
  <c r="U283" i="85"/>
  <c r="I284" i="85"/>
  <c r="U284" i="85"/>
  <c r="I285" i="85"/>
  <c r="U285" i="85"/>
  <c r="I286" i="85"/>
  <c r="U286" i="85"/>
  <c r="I287" i="85"/>
  <c r="U287" i="85"/>
  <c r="I288" i="85"/>
  <c r="U288" i="85"/>
  <c r="I289" i="85"/>
  <c r="U289" i="85"/>
  <c r="I290" i="85"/>
  <c r="U290" i="85"/>
  <c r="I291" i="85"/>
  <c r="U291" i="85"/>
  <c r="I292" i="85"/>
  <c r="U292" i="85"/>
  <c r="I293" i="85"/>
  <c r="U293" i="85"/>
  <c r="I294" i="85"/>
  <c r="U294" i="85"/>
  <c r="I295" i="85"/>
  <c r="U295" i="85"/>
  <c r="I296" i="85"/>
  <c r="U296" i="85"/>
  <c r="I297" i="85"/>
  <c r="U297" i="85"/>
  <c r="I298" i="85"/>
  <c r="U298" i="85"/>
  <c r="I299" i="85"/>
  <c r="U299" i="85"/>
  <c r="I300" i="85"/>
  <c r="U300" i="85"/>
  <c r="I301" i="85"/>
  <c r="U301" i="85"/>
  <c r="I302" i="85"/>
  <c r="U302" i="85"/>
  <c r="I303" i="85"/>
  <c r="U303" i="85"/>
  <c r="I304" i="85"/>
  <c r="U304" i="85"/>
  <c r="I305" i="85"/>
  <c r="U305" i="85"/>
  <c r="I306" i="85"/>
  <c r="U306" i="85"/>
  <c r="I307" i="85"/>
  <c r="U307" i="85"/>
  <c r="I308" i="85"/>
  <c r="U308" i="85"/>
  <c r="I309" i="85"/>
  <c r="U309" i="85"/>
  <c r="I310" i="85"/>
  <c r="U310" i="85"/>
  <c r="I311" i="85"/>
  <c r="U311" i="85"/>
  <c r="I312" i="85"/>
  <c r="U312" i="85"/>
  <c r="I313" i="85"/>
  <c r="U313" i="85"/>
  <c r="I314" i="85"/>
  <c r="U314" i="85"/>
  <c r="I315" i="85"/>
  <c r="U315" i="85"/>
  <c r="I316" i="85"/>
  <c r="U316" i="85"/>
  <c r="I317" i="85"/>
  <c r="U317" i="85"/>
  <c r="I318" i="85"/>
  <c r="U318" i="85"/>
  <c r="I319" i="85"/>
  <c r="U319" i="85"/>
  <c r="I320" i="85"/>
  <c r="U320" i="85"/>
  <c r="I321" i="85"/>
  <c r="U321" i="85"/>
  <c r="I322" i="85"/>
  <c r="U322" i="85"/>
  <c r="I323" i="85"/>
  <c r="U323" i="85"/>
  <c r="I324" i="85"/>
  <c r="U324" i="85"/>
  <c r="I325" i="85"/>
  <c r="U325" i="85"/>
  <c r="I326" i="85"/>
  <c r="U326" i="85"/>
  <c r="I327" i="85"/>
  <c r="U327" i="85"/>
  <c r="I328" i="85"/>
  <c r="U328" i="85"/>
  <c r="I329" i="85"/>
  <c r="U329" i="85"/>
  <c r="I330" i="85"/>
  <c r="U330" i="85"/>
  <c r="I331" i="85"/>
  <c r="U331" i="85"/>
  <c r="I332" i="85"/>
  <c r="U332" i="85"/>
  <c r="I333" i="85"/>
  <c r="U333" i="85"/>
  <c r="I334" i="85"/>
  <c r="U334" i="85"/>
  <c r="I335" i="85"/>
  <c r="U335" i="85"/>
  <c r="I336" i="85"/>
  <c r="U336" i="85"/>
  <c r="I337" i="85"/>
  <c r="U337" i="85"/>
  <c r="I338" i="85"/>
  <c r="U338" i="85"/>
  <c r="I339" i="85"/>
  <c r="U339" i="85"/>
  <c r="I340" i="85"/>
  <c r="U340" i="85"/>
  <c r="I341" i="85"/>
  <c r="U341" i="85"/>
  <c r="I342" i="85"/>
  <c r="U342" i="85"/>
  <c r="I343" i="85"/>
  <c r="U343" i="85"/>
  <c r="I344" i="85"/>
  <c r="U344" i="85"/>
  <c r="I345" i="85"/>
  <c r="U345" i="85"/>
  <c r="I346" i="85"/>
  <c r="U346" i="85"/>
  <c r="I347" i="85"/>
  <c r="U347" i="85"/>
  <c r="I348" i="85"/>
  <c r="U348" i="85"/>
  <c r="I349" i="85"/>
  <c r="U349" i="85"/>
  <c r="I350" i="85"/>
  <c r="U350" i="85"/>
  <c r="I351" i="85"/>
  <c r="U351" i="85"/>
  <c r="I352" i="85"/>
  <c r="U352" i="85"/>
  <c r="I353" i="85"/>
  <c r="U353" i="85"/>
  <c r="I354" i="85"/>
  <c r="U354" i="85"/>
  <c r="I355" i="85"/>
  <c r="U355" i="85"/>
  <c r="I356" i="85"/>
  <c r="U356" i="85"/>
  <c r="I357" i="85"/>
  <c r="U357" i="85"/>
  <c r="I358" i="85"/>
  <c r="U358" i="85"/>
  <c r="I359" i="85"/>
  <c r="U359" i="85"/>
  <c r="I360" i="85"/>
  <c r="U360" i="85"/>
  <c r="I361" i="85"/>
  <c r="U361" i="85"/>
  <c r="I362" i="85"/>
  <c r="U362" i="85"/>
  <c r="I363" i="85"/>
  <c r="U363" i="85"/>
  <c r="I364" i="85"/>
  <c r="U364" i="85"/>
  <c r="I365" i="85"/>
  <c r="U365" i="85"/>
  <c r="I366" i="85"/>
  <c r="U366" i="85"/>
  <c r="I367" i="85"/>
  <c r="U367" i="85"/>
  <c r="I368" i="85"/>
  <c r="U368" i="85"/>
  <c r="I369" i="85"/>
  <c r="U369" i="85"/>
  <c r="I370" i="85"/>
  <c r="U370" i="85"/>
  <c r="I371" i="85"/>
  <c r="U371" i="85"/>
  <c r="I372" i="85"/>
  <c r="U372" i="85"/>
  <c r="I373" i="85"/>
  <c r="U373" i="85"/>
  <c r="I374" i="85"/>
  <c r="U374" i="85"/>
  <c r="I375" i="85"/>
  <c r="U375" i="85"/>
  <c r="I376" i="85"/>
  <c r="U376" i="85"/>
  <c r="I377" i="85"/>
  <c r="U377" i="85"/>
  <c r="I378" i="85"/>
  <c r="U378" i="85"/>
  <c r="I379" i="85"/>
  <c r="U379" i="85"/>
  <c r="I380" i="85"/>
  <c r="U380" i="85"/>
  <c r="I381" i="85"/>
  <c r="U381" i="85"/>
  <c r="I382" i="85"/>
  <c r="U382" i="85"/>
  <c r="I383" i="85"/>
  <c r="U383" i="85"/>
  <c r="I384" i="85"/>
  <c r="U384" i="85"/>
  <c r="I385" i="85"/>
  <c r="U385" i="85"/>
  <c r="I386" i="85"/>
  <c r="U386" i="85"/>
  <c r="I387" i="85"/>
  <c r="U387" i="85"/>
  <c r="I388" i="85"/>
  <c r="U388" i="85"/>
  <c r="I389" i="85"/>
  <c r="U389" i="85"/>
  <c r="I390" i="85"/>
  <c r="U390" i="85"/>
  <c r="I391" i="85"/>
  <c r="U391" i="85"/>
  <c r="I392" i="85"/>
  <c r="U392" i="85"/>
  <c r="I393" i="85"/>
  <c r="U393" i="85"/>
  <c r="I394" i="85"/>
  <c r="U394" i="85"/>
  <c r="I395" i="85"/>
  <c r="U395" i="85"/>
  <c r="I396" i="85"/>
  <c r="U396" i="85"/>
  <c r="I397" i="85"/>
  <c r="U397" i="85"/>
  <c r="I398" i="85"/>
  <c r="U398" i="85"/>
  <c r="I399" i="85"/>
  <c r="U399" i="85"/>
  <c r="I400" i="85"/>
  <c r="U400" i="85"/>
  <c r="I401" i="85"/>
  <c r="U401" i="85"/>
  <c r="I402" i="85"/>
  <c r="U402" i="85"/>
  <c r="I403" i="85"/>
  <c r="U403" i="85"/>
  <c r="I404" i="85"/>
  <c r="U404" i="85"/>
  <c r="I405" i="85"/>
  <c r="U405" i="85"/>
  <c r="I406" i="85"/>
  <c r="U406" i="85"/>
  <c r="I407" i="85"/>
  <c r="U407" i="85"/>
  <c r="I408" i="85"/>
  <c r="U408" i="85"/>
  <c r="I409" i="85"/>
  <c r="U409" i="85"/>
  <c r="I410" i="85"/>
  <c r="U410" i="85"/>
  <c r="I411" i="85"/>
  <c r="U411" i="85"/>
  <c r="I412" i="85"/>
  <c r="U412" i="85"/>
  <c r="I413" i="85"/>
  <c r="U413" i="85"/>
  <c r="I414" i="85"/>
  <c r="U414" i="85"/>
  <c r="I415" i="85"/>
  <c r="U415" i="85"/>
  <c r="I416" i="85"/>
  <c r="U416" i="85"/>
  <c r="I417" i="85"/>
  <c r="U417" i="85"/>
  <c r="I418" i="85"/>
  <c r="U418" i="85"/>
  <c r="I419" i="85"/>
  <c r="U419" i="85"/>
  <c r="I420" i="85"/>
  <c r="U420" i="85"/>
  <c r="I421" i="85"/>
  <c r="U421" i="85"/>
  <c r="I422" i="85"/>
  <c r="U422" i="85"/>
  <c r="I423" i="85"/>
  <c r="U423" i="85"/>
  <c r="I424" i="85"/>
  <c r="U424" i="85"/>
  <c r="I425" i="85"/>
  <c r="U425" i="85"/>
  <c r="I426" i="85"/>
  <c r="U426" i="85"/>
  <c r="I427" i="85"/>
  <c r="U427" i="85"/>
  <c r="I428" i="85"/>
  <c r="U428" i="85"/>
  <c r="I429" i="85"/>
  <c r="U429" i="85"/>
  <c r="I430" i="85"/>
  <c r="U430" i="85"/>
  <c r="I431" i="85"/>
  <c r="U431" i="85"/>
  <c r="I432" i="85"/>
  <c r="U432" i="85"/>
  <c r="I433" i="85"/>
  <c r="U433" i="85"/>
  <c r="I434" i="85"/>
  <c r="U434" i="85"/>
  <c r="I435" i="85"/>
  <c r="U435" i="85"/>
  <c r="I436" i="85"/>
  <c r="U436" i="85"/>
  <c r="I437" i="85"/>
  <c r="U437" i="85"/>
  <c r="I438" i="85"/>
  <c r="U438" i="85"/>
  <c r="I439" i="85"/>
  <c r="U439" i="85"/>
  <c r="I440" i="85"/>
  <c r="U440" i="85"/>
  <c r="I441" i="85"/>
  <c r="U441" i="85"/>
  <c r="I442" i="85"/>
  <c r="U442" i="85"/>
  <c r="I443" i="85"/>
  <c r="U443" i="85"/>
  <c r="I444" i="85"/>
  <c r="U444" i="85"/>
  <c r="I445" i="85"/>
  <c r="U445" i="85"/>
  <c r="I446" i="85"/>
  <c r="U446" i="85"/>
  <c r="I447" i="85"/>
  <c r="U447" i="85"/>
  <c r="I448" i="85"/>
  <c r="U448" i="85"/>
  <c r="I449" i="85"/>
  <c r="U449" i="85"/>
  <c r="I450" i="85"/>
  <c r="U450" i="85"/>
  <c r="I451" i="85"/>
  <c r="U451" i="85"/>
  <c r="I452" i="85"/>
  <c r="U452" i="85"/>
  <c r="I453" i="85"/>
  <c r="U453" i="85"/>
  <c r="I454" i="85"/>
  <c r="U454" i="85"/>
  <c r="I455" i="85"/>
  <c r="U455" i="85"/>
  <c r="I456" i="85"/>
  <c r="U456" i="85"/>
  <c r="I457" i="85"/>
  <c r="U457" i="85"/>
  <c r="I458" i="85"/>
  <c r="U458" i="85"/>
  <c r="I459" i="85"/>
  <c r="U459" i="85"/>
  <c r="I460" i="85"/>
  <c r="U460" i="85"/>
  <c r="I461" i="85"/>
  <c r="U461" i="85"/>
  <c r="I462" i="85"/>
  <c r="U462" i="85"/>
  <c r="I463" i="85"/>
  <c r="U463" i="85"/>
  <c r="I464" i="85"/>
  <c r="U464" i="85"/>
  <c r="I465" i="85"/>
  <c r="U465" i="85"/>
  <c r="I466" i="85"/>
  <c r="U466" i="85"/>
  <c r="I467" i="85"/>
  <c r="U467" i="85"/>
  <c r="I468" i="85"/>
  <c r="U468" i="85"/>
  <c r="I469" i="85"/>
  <c r="U469" i="85"/>
  <c r="I470" i="85"/>
  <c r="U470" i="85"/>
  <c r="I471" i="85"/>
  <c r="U471" i="85"/>
  <c r="I472" i="85"/>
  <c r="U472" i="85"/>
  <c r="I473" i="85"/>
  <c r="U473" i="85"/>
  <c r="I474" i="85"/>
  <c r="U474" i="85"/>
  <c r="I475" i="85"/>
  <c r="U475" i="85"/>
  <c r="I476" i="85"/>
  <c r="U476" i="85"/>
  <c r="I477" i="85"/>
  <c r="U477" i="85"/>
  <c r="I478" i="85"/>
  <c r="U478" i="85"/>
  <c r="I479" i="85"/>
  <c r="U479" i="85"/>
  <c r="I480" i="85"/>
  <c r="U480" i="85"/>
  <c r="I481" i="85"/>
  <c r="U481" i="85"/>
  <c r="I482" i="85"/>
  <c r="U482" i="85"/>
  <c r="I483" i="85"/>
  <c r="U483" i="85"/>
  <c r="I484" i="85"/>
  <c r="U484" i="85"/>
  <c r="I485" i="85"/>
  <c r="U485" i="85"/>
  <c r="I486" i="85"/>
  <c r="U486" i="85"/>
  <c r="I487" i="85"/>
  <c r="U487" i="85"/>
  <c r="I488" i="85"/>
  <c r="U488" i="85"/>
  <c r="I489" i="85"/>
  <c r="U489" i="85"/>
  <c r="I490" i="85"/>
  <c r="U490" i="85"/>
  <c r="I491" i="85"/>
  <c r="U491" i="85"/>
  <c r="I492" i="85"/>
  <c r="U492" i="85"/>
  <c r="I493" i="85"/>
  <c r="U493" i="85"/>
  <c r="I494" i="85"/>
  <c r="U494" i="85"/>
  <c r="I495" i="85"/>
  <c r="U495" i="85"/>
  <c r="I496" i="85"/>
  <c r="U496" i="85"/>
  <c r="I497" i="85"/>
  <c r="U497" i="85"/>
  <c r="I498" i="85"/>
  <c r="U498" i="85"/>
  <c r="I499" i="85"/>
  <c r="U499" i="85"/>
  <c r="I500" i="85"/>
  <c r="U500" i="85"/>
  <c r="I501" i="85"/>
  <c r="U501" i="85"/>
  <c r="I502" i="85"/>
  <c r="U502" i="85"/>
  <c r="I503" i="85"/>
  <c r="U503" i="85"/>
  <c r="I504" i="85"/>
  <c r="U504" i="85"/>
  <c r="I505" i="85"/>
  <c r="U505" i="85"/>
  <c r="I506" i="85"/>
  <c r="U506" i="85"/>
  <c r="I507" i="85"/>
  <c r="U507" i="85"/>
  <c r="I508" i="85"/>
  <c r="U508" i="85"/>
  <c r="I509" i="85"/>
  <c r="U509" i="85"/>
  <c r="I510" i="85"/>
  <c r="U510" i="85"/>
  <c r="I511" i="85"/>
  <c r="U511" i="85"/>
  <c r="I512" i="85"/>
  <c r="U512" i="85"/>
  <c r="I513" i="85"/>
  <c r="U513" i="85"/>
  <c r="I514" i="85"/>
  <c r="U514" i="85"/>
  <c r="I515" i="85"/>
  <c r="U515" i="85"/>
  <c r="I516" i="85"/>
  <c r="U516" i="85"/>
  <c r="I517" i="85"/>
  <c r="U517" i="85"/>
  <c r="I518" i="85"/>
  <c r="U518" i="85"/>
  <c r="I519" i="85"/>
  <c r="U519" i="85"/>
  <c r="I520" i="85"/>
  <c r="U520" i="85"/>
  <c r="I521" i="85"/>
  <c r="U521" i="85"/>
  <c r="I522" i="85"/>
  <c r="U522" i="85"/>
  <c r="I523" i="85"/>
  <c r="U523" i="85"/>
  <c r="I524" i="85"/>
  <c r="U524" i="85"/>
  <c r="I525" i="85"/>
  <c r="U525" i="85"/>
  <c r="I526" i="85"/>
  <c r="U526" i="85"/>
  <c r="I527" i="85"/>
  <c r="U527" i="85"/>
  <c r="I528" i="85"/>
  <c r="U528" i="85"/>
  <c r="I529" i="85"/>
  <c r="U529" i="85"/>
  <c r="I530" i="85"/>
  <c r="U530" i="85"/>
  <c r="I531" i="85"/>
  <c r="U531" i="85"/>
  <c r="I532" i="85"/>
  <c r="U532" i="85"/>
  <c r="I533" i="85"/>
  <c r="U533" i="85"/>
  <c r="I534" i="85"/>
  <c r="U534" i="85"/>
  <c r="I535" i="85"/>
  <c r="U535" i="85"/>
  <c r="I536" i="85"/>
  <c r="U536" i="85"/>
  <c r="I537" i="85"/>
  <c r="U537" i="85"/>
  <c r="I538" i="85"/>
  <c r="U538" i="85"/>
  <c r="I539" i="85"/>
  <c r="U539" i="85"/>
  <c r="I540" i="85"/>
  <c r="U540" i="85"/>
  <c r="I541" i="85"/>
  <c r="U541" i="85"/>
  <c r="I542" i="85"/>
  <c r="U542" i="85"/>
  <c r="I543" i="85"/>
  <c r="U543" i="85"/>
  <c r="I544" i="85"/>
  <c r="U544" i="85"/>
  <c r="I545" i="85"/>
  <c r="U545" i="85"/>
  <c r="I546" i="85"/>
  <c r="U546" i="85"/>
  <c r="I547" i="85"/>
  <c r="U547" i="85"/>
  <c r="I548" i="85"/>
  <c r="U548" i="85"/>
  <c r="I549" i="85"/>
  <c r="U549" i="85"/>
  <c r="I550" i="85"/>
  <c r="U550" i="85"/>
  <c r="I551" i="85"/>
  <c r="U551" i="85"/>
  <c r="I552" i="85"/>
  <c r="U552" i="85"/>
  <c r="I553" i="85"/>
  <c r="U553" i="85"/>
  <c r="I554" i="85"/>
  <c r="U554" i="85"/>
  <c r="I555" i="85"/>
  <c r="U555" i="85"/>
  <c r="I556" i="85"/>
  <c r="U556" i="85"/>
  <c r="I557" i="85"/>
  <c r="U557" i="85"/>
  <c r="I558" i="85"/>
  <c r="U558" i="85"/>
  <c r="I559" i="85"/>
  <c r="U559" i="85"/>
  <c r="I560" i="85"/>
  <c r="U560" i="85"/>
  <c r="I561" i="85"/>
  <c r="U561" i="85"/>
  <c r="I562" i="85"/>
  <c r="U562" i="85"/>
  <c r="I563" i="85"/>
  <c r="U563" i="85"/>
  <c r="I564" i="85"/>
  <c r="U564" i="85"/>
  <c r="I565" i="85"/>
  <c r="U565" i="85"/>
  <c r="I566" i="85"/>
  <c r="U566" i="85"/>
  <c r="I567" i="85"/>
  <c r="U567" i="85"/>
  <c r="I568" i="85"/>
  <c r="U568" i="85"/>
  <c r="I569" i="85"/>
  <c r="U569" i="85"/>
  <c r="I570" i="85"/>
  <c r="U570" i="85"/>
  <c r="I571" i="85"/>
  <c r="U571" i="85"/>
  <c r="U572" i="85"/>
  <c r="U573" i="85"/>
  <c r="U574" i="85"/>
  <c r="U575" i="85"/>
  <c r="I576" i="85"/>
  <c r="U576" i="85"/>
  <c r="I577" i="85"/>
  <c r="U577" i="85"/>
  <c r="I578" i="85"/>
  <c r="U578" i="85"/>
  <c r="I579" i="85"/>
  <c r="U579" i="85"/>
  <c r="I580" i="85"/>
  <c r="U580" i="85"/>
  <c r="I581" i="85"/>
  <c r="U581" i="85"/>
  <c r="I582" i="85"/>
  <c r="U582" i="85"/>
  <c r="I583" i="85"/>
  <c r="U583" i="85"/>
  <c r="I584" i="85"/>
  <c r="U584" i="85"/>
  <c r="I585" i="85"/>
  <c r="U585" i="85"/>
  <c r="I586" i="85"/>
  <c r="U586" i="85"/>
  <c r="I587" i="85"/>
  <c r="U587" i="85"/>
  <c r="I588" i="85"/>
  <c r="U588" i="85"/>
  <c r="I589" i="85"/>
  <c r="U589" i="85"/>
  <c r="AH278" i="85"/>
  <c r="G278" i="85"/>
  <c r="AF278" i="85" a="1"/>
  <c r="AF278" i="85"/>
  <c r="AJ278" i="85"/>
  <c r="AL278" i="85"/>
  <c r="AK278" i="85"/>
  <c r="AM278" i="85"/>
  <c r="AN278" i="85"/>
  <c r="B278" i="85"/>
  <c r="C278" i="85"/>
  <c r="P278" i="85"/>
  <c r="S278" i="85"/>
  <c r="AH279" i="85"/>
  <c r="G279" i="85"/>
  <c r="AF279" i="85" a="1"/>
  <c r="AF279" i="85"/>
  <c r="AJ279" i="85"/>
  <c r="AL279" i="85"/>
  <c r="AK279" i="85"/>
  <c r="AM279" i="85"/>
  <c r="AN279" i="85"/>
  <c r="B279" i="85"/>
  <c r="C279" i="85"/>
  <c r="P279" i="85"/>
  <c r="S279" i="85"/>
  <c r="AH280" i="85"/>
  <c r="G280" i="85"/>
  <c r="AF280" i="85" a="1"/>
  <c r="AF280" i="85"/>
  <c r="AJ280" i="85"/>
  <c r="AL280" i="85"/>
  <c r="AK280" i="85"/>
  <c r="AM280" i="85"/>
  <c r="AN280" i="85"/>
  <c r="B280" i="85"/>
  <c r="C280" i="85"/>
  <c r="P280" i="85"/>
  <c r="S280" i="85"/>
  <c r="AH281" i="85"/>
  <c r="G281" i="85"/>
  <c r="AF281" i="85" a="1"/>
  <c r="AF281" i="85"/>
  <c r="AJ281" i="85"/>
  <c r="AL281" i="85"/>
  <c r="AK281" i="85"/>
  <c r="AM281" i="85"/>
  <c r="AN281" i="85"/>
  <c r="B281" i="85"/>
  <c r="C281" i="85"/>
  <c r="P281" i="85"/>
  <c r="S281" i="85"/>
  <c r="AH282" i="85"/>
  <c r="G282" i="85"/>
  <c r="AF282" i="85" a="1"/>
  <c r="AF282" i="85"/>
  <c r="AJ282" i="85"/>
  <c r="AL282" i="85"/>
  <c r="AK282" i="85"/>
  <c r="AM282" i="85"/>
  <c r="AN282" i="85"/>
  <c r="B282" i="85"/>
  <c r="C282" i="85"/>
  <c r="P282" i="85"/>
  <c r="S282" i="85"/>
  <c r="AH283" i="85"/>
  <c r="G283" i="85"/>
  <c r="AF283" i="85" a="1"/>
  <c r="AF283" i="85"/>
  <c r="AJ283" i="85"/>
  <c r="AL283" i="85"/>
  <c r="AK283" i="85"/>
  <c r="AM283" i="85"/>
  <c r="AN283" i="85"/>
  <c r="B283" i="85"/>
  <c r="C283" i="85"/>
  <c r="P283" i="85"/>
  <c r="S283" i="85"/>
  <c r="AH284" i="85"/>
  <c r="G284" i="85"/>
  <c r="AF284" i="85" a="1"/>
  <c r="AF284" i="85"/>
  <c r="AJ284" i="85"/>
  <c r="AL284" i="85"/>
  <c r="AK284" i="85"/>
  <c r="AM284" i="85"/>
  <c r="AN284" i="85"/>
  <c r="B284" i="85"/>
  <c r="C284" i="85"/>
  <c r="P284" i="85"/>
  <c r="S284" i="85"/>
  <c r="AH285" i="85"/>
  <c r="G285" i="85"/>
  <c r="AF285" i="85" a="1"/>
  <c r="AF285" i="85"/>
  <c r="AJ285" i="85"/>
  <c r="AL285" i="85"/>
  <c r="AK285" i="85"/>
  <c r="AM285" i="85"/>
  <c r="AN285" i="85"/>
  <c r="B285" i="85"/>
  <c r="C285" i="85"/>
  <c r="P285" i="85"/>
  <c r="S285" i="85"/>
  <c r="AH286" i="85"/>
  <c r="G286" i="85"/>
  <c r="AF286" i="85" a="1"/>
  <c r="AF286" i="85"/>
  <c r="AJ286" i="85"/>
  <c r="AL286" i="85"/>
  <c r="AK286" i="85"/>
  <c r="AM286" i="85"/>
  <c r="AN286" i="85"/>
  <c r="B286" i="85"/>
  <c r="C286" i="85"/>
  <c r="P286" i="85"/>
  <c r="S286" i="85"/>
  <c r="AH287" i="85"/>
  <c r="G287" i="85"/>
  <c r="AF287" i="85" a="1"/>
  <c r="AF287" i="85"/>
  <c r="AJ287" i="85"/>
  <c r="AL287" i="85"/>
  <c r="AK287" i="85"/>
  <c r="AM287" i="85"/>
  <c r="AN287" i="85"/>
  <c r="B287" i="85"/>
  <c r="C287" i="85"/>
  <c r="P287" i="85"/>
  <c r="S287" i="85"/>
  <c r="AH288" i="85"/>
  <c r="G288" i="85"/>
  <c r="AF288" i="85" a="1"/>
  <c r="AF288" i="85"/>
  <c r="AJ288" i="85"/>
  <c r="AL288" i="85"/>
  <c r="AK288" i="85"/>
  <c r="AM288" i="85"/>
  <c r="AN288" i="85"/>
  <c r="B288" i="85"/>
  <c r="C288" i="85"/>
  <c r="P288" i="85"/>
  <c r="S288" i="85"/>
  <c r="AH289" i="85"/>
  <c r="G289" i="85"/>
  <c r="AF289" i="85" a="1"/>
  <c r="AF289" i="85"/>
  <c r="AJ289" i="85"/>
  <c r="AL289" i="85"/>
  <c r="AK289" i="85"/>
  <c r="AM289" i="85"/>
  <c r="AN289" i="85"/>
  <c r="B289" i="85"/>
  <c r="C289" i="85"/>
  <c r="P289" i="85"/>
  <c r="S289" i="85"/>
  <c r="AH290" i="85"/>
  <c r="G290" i="85"/>
  <c r="AF290" i="85" a="1"/>
  <c r="AF290" i="85"/>
  <c r="AJ290" i="85"/>
  <c r="AL290" i="85"/>
  <c r="AK290" i="85"/>
  <c r="AM290" i="85"/>
  <c r="AN290" i="85"/>
  <c r="B290" i="85"/>
  <c r="C290" i="85"/>
  <c r="P290" i="85"/>
  <c r="S290" i="85"/>
  <c r="AH291" i="85"/>
  <c r="G291" i="85"/>
  <c r="AF291" i="85" a="1"/>
  <c r="AF291" i="85"/>
  <c r="AJ291" i="85"/>
  <c r="AL291" i="85"/>
  <c r="AK291" i="85"/>
  <c r="AM291" i="85"/>
  <c r="AN291" i="85"/>
  <c r="B291" i="85"/>
  <c r="C291" i="85"/>
  <c r="P291" i="85"/>
  <c r="S291" i="85"/>
  <c r="AH292" i="85"/>
  <c r="G292" i="85"/>
  <c r="AF292" i="85" a="1"/>
  <c r="AF292" i="85"/>
  <c r="AJ292" i="85"/>
  <c r="AL292" i="85"/>
  <c r="AK292" i="85"/>
  <c r="AM292" i="85"/>
  <c r="AN292" i="85"/>
  <c r="B292" i="85"/>
  <c r="C292" i="85"/>
  <c r="P292" i="85"/>
  <c r="S292" i="85"/>
  <c r="AH293" i="85"/>
  <c r="G293" i="85"/>
  <c r="AF293" i="85" a="1"/>
  <c r="AF293" i="85"/>
  <c r="AJ293" i="85"/>
  <c r="AL293" i="85"/>
  <c r="AK293" i="85"/>
  <c r="AM293" i="85"/>
  <c r="AN293" i="85"/>
  <c r="B293" i="85"/>
  <c r="C293" i="85"/>
  <c r="P293" i="85"/>
  <c r="S293" i="85"/>
  <c r="AH294" i="85"/>
  <c r="G294" i="85"/>
  <c r="AF294" i="85" a="1"/>
  <c r="AF294" i="85"/>
  <c r="AJ294" i="85"/>
  <c r="AL294" i="85"/>
  <c r="AK294" i="85"/>
  <c r="AM294" i="85"/>
  <c r="AN294" i="85"/>
  <c r="B294" i="85"/>
  <c r="C294" i="85"/>
  <c r="P294" i="85"/>
  <c r="S294" i="85"/>
  <c r="AH295" i="85"/>
  <c r="G295" i="85"/>
  <c r="AF295" i="85" a="1"/>
  <c r="AF295" i="85"/>
  <c r="AJ295" i="85"/>
  <c r="AL295" i="85"/>
  <c r="AK295" i="85"/>
  <c r="AM295" i="85"/>
  <c r="AN295" i="85"/>
  <c r="B295" i="85"/>
  <c r="C295" i="85"/>
  <c r="P295" i="85"/>
  <c r="S295" i="85"/>
  <c r="AG296" i="85"/>
  <c r="G296" i="85"/>
  <c r="AF296" i="85" a="1"/>
  <c r="AF296" i="85"/>
  <c r="AJ296" i="85"/>
  <c r="AL296" i="85"/>
  <c r="AK296" i="85"/>
  <c r="AM296" i="85"/>
  <c r="AN296" i="85"/>
  <c r="B296" i="85"/>
  <c r="C296" i="85"/>
  <c r="P296" i="85"/>
  <c r="S296" i="85"/>
  <c r="G297" i="85"/>
  <c r="J297" i="85"/>
  <c r="AG297" i="85"/>
  <c r="AF297" i="85" a="1"/>
  <c r="AF297" i="85"/>
  <c r="AJ297" i="85"/>
  <c r="AL297" i="85"/>
  <c r="AK297" i="85"/>
  <c r="AM297" i="85"/>
  <c r="AN297" i="85"/>
  <c r="B297" i="85"/>
  <c r="C297" i="85"/>
  <c r="P297" i="85"/>
  <c r="S297" i="85"/>
  <c r="AG298" i="85"/>
  <c r="G298" i="85"/>
  <c r="AF298" i="85" a="1"/>
  <c r="AF298" i="85"/>
  <c r="AJ298" i="85"/>
  <c r="AL298" i="85"/>
  <c r="AK298" i="85"/>
  <c r="AM298" i="85"/>
  <c r="AN298" i="85"/>
  <c r="B298" i="85"/>
  <c r="C298" i="85"/>
  <c r="P298" i="85"/>
  <c r="S298" i="85"/>
  <c r="AG299" i="85"/>
  <c r="G299" i="85"/>
  <c r="AF299" i="85" a="1"/>
  <c r="AF299" i="85"/>
  <c r="AJ299" i="85"/>
  <c r="AL299" i="85"/>
  <c r="AK299" i="85"/>
  <c r="AM299" i="85"/>
  <c r="AN299" i="85"/>
  <c r="B299" i="85"/>
  <c r="C299" i="85"/>
  <c r="P299" i="85"/>
  <c r="S299" i="85"/>
  <c r="AD24" i="85"/>
  <c r="AH24" i="85"/>
  <c r="G24" i="85"/>
  <c r="AF24" i="85" a="1"/>
  <c r="AF24" i="85"/>
  <c r="AJ24" i="85"/>
  <c r="AL24" i="85"/>
  <c r="AK24" i="85"/>
  <c r="AM24" i="85"/>
  <c r="AN24" i="85"/>
  <c r="B24" i="85"/>
  <c r="C24" i="85"/>
  <c r="P24" i="85"/>
  <c r="S24" i="85"/>
  <c r="AD25" i="85"/>
  <c r="AH25" i="85"/>
  <c r="G25" i="85"/>
  <c r="AF25" i="85" a="1"/>
  <c r="AF25" i="85"/>
  <c r="AJ25" i="85"/>
  <c r="AL25" i="85"/>
  <c r="AK25" i="85"/>
  <c r="AM25" i="85"/>
  <c r="AN25" i="85"/>
  <c r="B25" i="85"/>
  <c r="C25" i="85"/>
  <c r="P25" i="85"/>
  <c r="S25" i="85"/>
  <c r="AD26" i="85"/>
  <c r="AH26" i="85"/>
  <c r="G26" i="85"/>
  <c r="AF26" i="85" a="1"/>
  <c r="AF26" i="85"/>
  <c r="AJ26" i="85"/>
  <c r="AL26" i="85"/>
  <c r="AK26" i="85"/>
  <c r="AM26" i="85"/>
  <c r="AN26" i="85"/>
  <c r="B26" i="85"/>
  <c r="C26" i="85"/>
  <c r="P26" i="85"/>
  <c r="S26" i="85"/>
  <c r="AD27" i="85"/>
  <c r="AH27" i="85"/>
  <c r="G27" i="85"/>
  <c r="AF27" i="85" a="1"/>
  <c r="AF27" i="85"/>
  <c r="AJ27" i="85"/>
  <c r="AL27" i="85"/>
  <c r="AK27" i="85"/>
  <c r="AM27" i="85"/>
  <c r="AN27" i="85"/>
  <c r="B27" i="85"/>
  <c r="C27" i="85"/>
  <c r="P27" i="85"/>
  <c r="S27" i="85"/>
  <c r="AD28" i="85"/>
  <c r="AH28" i="85"/>
  <c r="G28" i="85"/>
  <c r="AF28" i="85" a="1"/>
  <c r="AF28" i="85"/>
  <c r="AJ28" i="85"/>
  <c r="AL28" i="85"/>
  <c r="AK28" i="85"/>
  <c r="AM28" i="85"/>
  <c r="AN28" i="85"/>
  <c r="B28" i="85"/>
  <c r="C28" i="85"/>
  <c r="P28" i="85"/>
  <c r="S28" i="85"/>
  <c r="AD29" i="85"/>
  <c r="AH29" i="85"/>
  <c r="G29" i="85"/>
  <c r="AF29" i="85" a="1"/>
  <c r="AF29" i="85"/>
  <c r="AJ29" i="85"/>
  <c r="AL29" i="85"/>
  <c r="AK29" i="85"/>
  <c r="AM29" i="85"/>
  <c r="AN29" i="85"/>
  <c r="B29" i="85"/>
  <c r="C29" i="85"/>
  <c r="P29" i="85"/>
  <c r="S29" i="85"/>
  <c r="AD30" i="85"/>
  <c r="AH30" i="85"/>
  <c r="G30" i="85"/>
  <c r="AF30" i="85" a="1"/>
  <c r="AF30" i="85"/>
  <c r="AJ30" i="85"/>
  <c r="AL30" i="85"/>
  <c r="AK30" i="85"/>
  <c r="AM30" i="85"/>
  <c r="AN30" i="85"/>
  <c r="B30" i="85"/>
  <c r="C30" i="85"/>
  <c r="P30" i="85"/>
  <c r="S30" i="85"/>
  <c r="AD31" i="85"/>
  <c r="AH31" i="85"/>
  <c r="G31" i="85"/>
  <c r="AF31" i="85" a="1"/>
  <c r="AF31" i="85"/>
  <c r="AJ31" i="85"/>
  <c r="AL31" i="85"/>
  <c r="AK31" i="85"/>
  <c r="AM31" i="85"/>
  <c r="AN31" i="85"/>
  <c r="B31" i="85"/>
  <c r="C31" i="85"/>
  <c r="P31" i="85"/>
  <c r="S31" i="85"/>
  <c r="AD32" i="85"/>
  <c r="AH32" i="85"/>
  <c r="G32" i="85"/>
  <c r="AF32" i="85" a="1"/>
  <c r="AF32" i="85"/>
  <c r="AJ32" i="85"/>
  <c r="AL32" i="85"/>
  <c r="AK32" i="85"/>
  <c r="AM32" i="85"/>
  <c r="AN32" i="85"/>
  <c r="B32" i="85"/>
  <c r="C32" i="85"/>
  <c r="P32" i="85"/>
  <c r="S32" i="85"/>
  <c r="AD33" i="85"/>
  <c r="AH33" i="85"/>
  <c r="G33" i="85"/>
  <c r="AF33" i="85" a="1"/>
  <c r="AF33" i="85"/>
  <c r="AJ33" i="85"/>
  <c r="AL33" i="85"/>
  <c r="AK33" i="85"/>
  <c r="AM33" i="85"/>
  <c r="AN33" i="85"/>
  <c r="B33" i="85"/>
  <c r="C33" i="85"/>
  <c r="P33" i="85"/>
  <c r="S33" i="85"/>
  <c r="AD34" i="85"/>
  <c r="AH34" i="85"/>
  <c r="G34" i="85"/>
  <c r="AF34" i="85" a="1"/>
  <c r="AF34" i="85"/>
  <c r="AJ34" i="85"/>
  <c r="AL34" i="85"/>
  <c r="AK34" i="85"/>
  <c r="AM34" i="85"/>
  <c r="AN34" i="85"/>
  <c r="B34" i="85"/>
  <c r="C34" i="85"/>
  <c r="P34" i="85"/>
  <c r="S34" i="85"/>
  <c r="AD35" i="85"/>
  <c r="AH35" i="85"/>
  <c r="G35" i="85"/>
  <c r="AF35" i="85" a="1"/>
  <c r="AF35" i="85"/>
  <c r="AJ35" i="85"/>
  <c r="AL35" i="85"/>
  <c r="AK35" i="85"/>
  <c r="AM35" i="85"/>
  <c r="AN35" i="85"/>
  <c r="B35" i="85"/>
  <c r="C35" i="85"/>
  <c r="P35" i="85"/>
  <c r="S35" i="85"/>
  <c r="AD36" i="85"/>
  <c r="AH36" i="85"/>
  <c r="G36" i="85"/>
  <c r="AF36" i="85" a="1"/>
  <c r="AF36" i="85"/>
  <c r="AJ36" i="85"/>
  <c r="AL36" i="85"/>
  <c r="AK36" i="85"/>
  <c r="AM36" i="85"/>
  <c r="AN36" i="85"/>
  <c r="B36" i="85"/>
  <c r="C36" i="85"/>
  <c r="P36" i="85"/>
  <c r="S36" i="85"/>
  <c r="AD37" i="85"/>
  <c r="AH37" i="85"/>
  <c r="G37" i="85"/>
  <c r="AF37" i="85" a="1"/>
  <c r="AF37" i="85"/>
  <c r="AJ37" i="85"/>
  <c r="AL37" i="85"/>
  <c r="AK37" i="85"/>
  <c r="AM37" i="85"/>
  <c r="AN37" i="85"/>
  <c r="B37" i="85"/>
  <c r="C37" i="85"/>
  <c r="P37" i="85"/>
  <c r="S37" i="85"/>
  <c r="AD38" i="85"/>
  <c r="AH38" i="85"/>
  <c r="G38" i="85"/>
  <c r="AF38" i="85" a="1"/>
  <c r="AF38" i="85"/>
  <c r="AJ38" i="85"/>
  <c r="AL38" i="85"/>
  <c r="AK38" i="85"/>
  <c r="AM38" i="85"/>
  <c r="AN38" i="85"/>
  <c r="B38" i="85"/>
  <c r="C38" i="85"/>
  <c r="P38" i="85"/>
  <c r="S38" i="85"/>
  <c r="AD39" i="85"/>
  <c r="AH39" i="85"/>
  <c r="G39" i="85"/>
  <c r="AF39" i="85" a="1"/>
  <c r="AF39" i="85"/>
  <c r="AJ39" i="85"/>
  <c r="AL39" i="85"/>
  <c r="AK39" i="85"/>
  <c r="AM39" i="85"/>
  <c r="AN39" i="85"/>
  <c r="B39" i="85"/>
  <c r="C39" i="85"/>
  <c r="P39" i="85"/>
  <c r="S39" i="85"/>
  <c r="AD40" i="85"/>
  <c r="AH40" i="85"/>
  <c r="G40" i="85"/>
  <c r="AF40" i="85" a="1"/>
  <c r="AF40" i="85"/>
  <c r="AJ40" i="85"/>
  <c r="AL40" i="85"/>
  <c r="AK40" i="85"/>
  <c r="AM40" i="85"/>
  <c r="AN40" i="85"/>
  <c r="B40" i="85"/>
  <c r="C40" i="85"/>
  <c r="P40" i="85"/>
  <c r="S40" i="85"/>
  <c r="AD41" i="85"/>
  <c r="AH41" i="85"/>
  <c r="G41" i="85"/>
  <c r="AF41" i="85" a="1"/>
  <c r="AF41" i="85"/>
  <c r="AJ41" i="85"/>
  <c r="AL41" i="85"/>
  <c r="AK41" i="85"/>
  <c r="AM41" i="85"/>
  <c r="AN41" i="85"/>
  <c r="B41" i="85"/>
  <c r="C41" i="85"/>
  <c r="P41" i="85"/>
  <c r="S41" i="85"/>
  <c r="AD42" i="85"/>
  <c r="AH42" i="85"/>
  <c r="G42" i="85"/>
  <c r="AF42" i="85" a="1"/>
  <c r="AF42" i="85"/>
  <c r="AJ42" i="85"/>
  <c r="AL42" i="85"/>
  <c r="AK42" i="85"/>
  <c r="AM42" i="85"/>
  <c r="AN42" i="85"/>
  <c r="B42" i="85"/>
  <c r="C42" i="85"/>
  <c r="P42" i="85"/>
  <c r="S42" i="85"/>
  <c r="AD43" i="85"/>
  <c r="AH43" i="85"/>
  <c r="G43" i="85"/>
  <c r="AF43" i="85" a="1"/>
  <c r="AF43" i="85"/>
  <c r="AJ43" i="85"/>
  <c r="AL43" i="85"/>
  <c r="AK43" i="85"/>
  <c r="AM43" i="85"/>
  <c r="AN43" i="85"/>
  <c r="B43" i="85"/>
  <c r="C43" i="85"/>
  <c r="P43" i="85"/>
  <c r="S43" i="85"/>
  <c r="AD44" i="85"/>
  <c r="AH44" i="85"/>
  <c r="G44" i="85"/>
  <c r="AF44" i="85" a="1"/>
  <c r="AF44" i="85"/>
  <c r="AJ44" i="85"/>
  <c r="AL44" i="85"/>
  <c r="AK44" i="85"/>
  <c r="AM44" i="85"/>
  <c r="AN44" i="85"/>
  <c r="B44" i="85"/>
  <c r="C44" i="85"/>
  <c r="P44" i="85"/>
  <c r="S44" i="85"/>
  <c r="AD45" i="85"/>
  <c r="AH45" i="85"/>
  <c r="G45" i="85"/>
  <c r="AF45" i="85" a="1"/>
  <c r="AF45" i="85"/>
  <c r="AJ45" i="85"/>
  <c r="AL45" i="85"/>
  <c r="AK45" i="85"/>
  <c r="AM45" i="85"/>
  <c r="AN45" i="85"/>
  <c r="B45" i="85"/>
  <c r="C45" i="85"/>
  <c r="P45" i="85"/>
  <c r="S45" i="85"/>
  <c r="AD46" i="85"/>
  <c r="AH46" i="85"/>
  <c r="G46" i="85"/>
  <c r="AF46" i="85" a="1"/>
  <c r="AF46" i="85"/>
  <c r="AJ46" i="85"/>
  <c r="AL46" i="85"/>
  <c r="AK46" i="85"/>
  <c r="AM46" i="85"/>
  <c r="AN46" i="85"/>
  <c r="B46" i="85"/>
  <c r="C46" i="85"/>
  <c r="P46" i="85"/>
  <c r="S46" i="85"/>
  <c r="AD47" i="85"/>
  <c r="AH47" i="85"/>
  <c r="G47" i="85"/>
  <c r="AF47" i="85" a="1"/>
  <c r="AF47" i="85"/>
  <c r="AJ47" i="85"/>
  <c r="AL47" i="85"/>
  <c r="AK47" i="85"/>
  <c r="AM47" i="85"/>
  <c r="AN47" i="85"/>
  <c r="B47" i="85"/>
  <c r="C47" i="85"/>
  <c r="P47" i="85"/>
  <c r="S47" i="85"/>
  <c r="AD48" i="85"/>
  <c r="AH48" i="85"/>
  <c r="G48" i="85"/>
  <c r="AF48" i="85" a="1"/>
  <c r="AF48" i="85"/>
  <c r="AJ48" i="85"/>
  <c r="AL48" i="85"/>
  <c r="AK48" i="85"/>
  <c r="AM48" i="85"/>
  <c r="AN48" i="85"/>
  <c r="B48" i="85"/>
  <c r="C48" i="85"/>
  <c r="P48" i="85"/>
  <c r="S48" i="85"/>
  <c r="AD49" i="85"/>
  <c r="AH49" i="85"/>
  <c r="G49" i="85"/>
  <c r="AF49" i="85" a="1"/>
  <c r="AF49" i="85"/>
  <c r="AJ49" i="85"/>
  <c r="AL49" i="85"/>
  <c r="AK49" i="85"/>
  <c r="AM49" i="85"/>
  <c r="AN49" i="85"/>
  <c r="B49" i="85"/>
  <c r="C49" i="85"/>
  <c r="P49" i="85"/>
  <c r="S49" i="85"/>
  <c r="AD50" i="85"/>
  <c r="AH50" i="85"/>
  <c r="G50" i="85"/>
  <c r="AF50" i="85" a="1"/>
  <c r="AF50" i="85"/>
  <c r="AJ50" i="85"/>
  <c r="AL50" i="85"/>
  <c r="AK50" i="85"/>
  <c r="AM50" i="85"/>
  <c r="AN50" i="85"/>
  <c r="B50" i="85"/>
  <c r="C50" i="85"/>
  <c r="P50" i="85"/>
  <c r="S50" i="85"/>
  <c r="AD51" i="85"/>
  <c r="AH51" i="85"/>
  <c r="G51" i="85"/>
  <c r="AF51" i="85" a="1"/>
  <c r="AF51" i="85"/>
  <c r="AJ51" i="85"/>
  <c r="AL51" i="85"/>
  <c r="AK51" i="85"/>
  <c r="AM51" i="85"/>
  <c r="AN51" i="85"/>
  <c r="B51" i="85"/>
  <c r="C51" i="85"/>
  <c r="P51" i="85"/>
  <c r="S51" i="85"/>
  <c r="AD52" i="85"/>
  <c r="AH52" i="85"/>
  <c r="G52" i="85"/>
  <c r="AF52" i="85" a="1"/>
  <c r="AF52" i="85"/>
  <c r="AJ52" i="85"/>
  <c r="AL52" i="85"/>
  <c r="AK52" i="85"/>
  <c r="AM52" i="85"/>
  <c r="AN52" i="85"/>
  <c r="B52" i="85"/>
  <c r="C52" i="85"/>
  <c r="P52" i="85"/>
  <c r="S52" i="85"/>
  <c r="AD53" i="85"/>
  <c r="AH53" i="85"/>
  <c r="G53" i="85"/>
  <c r="AF53" i="85" a="1"/>
  <c r="AF53" i="85"/>
  <c r="AJ53" i="85"/>
  <c r="AL53" i="85"/>
  <c r="AK53" i="85"/>
  <c r="AM53" i="85"/>
  <c r="AN53" i="85"/>
  <c r="B53" i="85"/>
  <c r="C53" i="85"/>
  <c r="P53" i="85"/>
  <c r="S53" i="85"/>
  <c r="AH54" i="85"/>
  <c r="G54" i="85"/>
  <c r="AF54" i="85" a="1"/>
  <c r="AF54" i="85"/>
  <c r="AJ54" i="85"/>
  <c r="AL54" i="85"/>
  <c r="AK54" i="85"/>
  <c r="AM54" i="85"/>
  <c r="AN54" i="85"/>
  <c r="B54" i="85"/>
  <c r="C54" i="85"/>
  <c r="P54" i="85"/>
  <c r="S54" i="85"/>
  <c r="AH55" i="85"/>
  <c r="G55" i="85"/>
  <c r="AF55" i="85" a="1"/>
  <c r="AF55" i="85"/>
  <c r="AJ55" i="85"/>
  <c r="AL55" i="85"/>
  <c r="AK55" i="85"/>
  <c r="AM55" i="85"/>
  <c r="AN55" i="85"/>
  <c r="B55" i="85"/>
  <c r="C55" i="85"/>
  <c r="P55" i="85"/>
  <c r="S55" i="85"/>
  <c r="AH56" i="85"/>
  <c r="G56" i="85"/>
  <c r="AF56" i="85" a="1"/>
  <c r="AF56" i="85"/>
  <c r="AJ56" i="85"/>
  <c r="AL56" i="85"/>
  <c r="AK56" i="85"/>
  <c r="AM56" i="85"/>
  <c r="AN56" i="85"/>
  <c r="B56" i="85"/>
  <c r="C56" i="85"/>
  <c r="P56" i="85"/>
  <c r="S56" i="85"/>
  <c r="AH57" i="85"/>
  <c r="G57" i="85"/>
  <c r="AF57" i="85" a="1"/>
  <c r="AF57" i="85"/>
  <c r="AJ57" i="85"/>
  <c r="AL57" i="85"/>
  <c r="AK57" i="85"/>
  <c r="AM57" i="85"/>
  <c r="AN57" i="85"/>
  <c r="B57" i="85"/>
  <c r="C57" i="85"/>
  <c r="P57" i="85"/>
  <c r="S57" i="85"/>
  <c r="AH58" i="85"/>
  <c r="G58" i="85"/>
  <c r="AF58" i="85" a="1"/>
  <c r="AF58" i="85"/>
  <c r="AJ58" i="85"/>
  <c r="AL58" i="85"/>
  <c r="AK58" i="85"/>
  <c r="AM58" i="85"/>
  <c r="AN58" i="85"/>
  <c r="B58" i="85"/>
  <c r="C58" i="85"/>
  <c r="P58" i="85"/>
  <c r="S58" i="85"/>
  <c r="AH59" i="85"/>
  <c r="G59" i="85"/>
  <c r="AF59" i="85" a="1"/>
  <c r="AF59" i="85"/>
  <c r="AJ59" i="85"/>
  <c r="AL59" i="85"/>
  <c r="AK59" i="85"/>
  <c r="AM59" i="85"/>
  <c r="AN59" i="85"/>
  <c r="B59" i="85"/>
  <c r="C59" i="85"/>
  <c r="P59" i="85"/>
  <c r="S59" i="85"/>
  <c r="AH60" i="85"/>
  <c r="G60" i="85"/>
  <c r="AF60" i="85" a="1"/>
  <c r="AF60" i="85"/>
  <c r="AJ60" i="85"/>
  <c r="AL60" i="85"/>
  <c r="AK60" i="85"/>
  <c r="AM60" i="85"/>
  <c r="AN60" i="85"/>
  <c r="B60" i="85"/>
  <c r="C60" i="85"/>
  <c r="P60" i="85"/>
  <c r="S60" i="85"/>
  <c r="AH61" i="85"/>
  <c r="G61" i="85"/>
  <c r="AF61" i="85" a="1"/>
  <c r="AF61" i="85"/>
  <c r="AJ61" i="85"/>
  <c r="AL61" i="85"/>
  <c r="AK61" i="85"/>
  <c r="AM61" i="85"/>
  <c r="AN61" i="85"/>
  <c r="B61" i="85"/>
  <c r="C61" i="85"/>
  <c r="P61" i="85"/>
  <c r="S61" i="85"/>
  <c r="G62" i="85"/>
  <c r="J62" i="85"/>
  <c r="AH62" i="85"/>
  <c r="AF62" i="85" a="1"/>
  <c r="AF62" i="85"/>
  <c r="AJ62" i="85"/>
  <c r="AL62" i="85"/>
  <c r="AK62" i="85"/>
  <c r="AM62" i="85"/>
  <c r="AN62" i="85"/>
  <c r="B62" i="85"/>
  <c r="C62" i="85"/>
  <c r="P62" i="85"/>
  <c r="S62" i="85"/>
  <c r="G63" i="85"/>
  <c r="J63" i="85"/>
  <c r="AH63" i="85"/>
  <c r="AF63" i="85" a="1"/>
  <c r="AF63" i="85"/>
  <c r="AJ63" i="85"/>
  <c r="AL63" i="85"/>
  <c r="AK63" i="85"/>
  <c r="AM63" i="85"/>
  <c r="AN63" i="85"/>
  <c r="B63" i="85"/>
  <c r="C63" i="85"/>
  <c r="P63" i="85"/>
  <c r="S63" i="85"/>
  <c r="G64" i="85"/>
  <c r="J64" i="85"/>
  <c r="AH64" i="85"/>
  <c r="AF64" i="85" a="1"/>
  <c r="AF64" i="85"/>
  <c r="AJ64" i="85"/>
  <c r="AL64" i="85"/>
  <c r="AK64" i="85"/>
  <c r="AM64" i="85"/>
  <c r="AN64" i="85"/>
  <c r="B64" i="85"/>
  <c r="C64" i="85"/>
  <c r="P64" i="85"/>
  <c r="S64" i="85"/>
  <c r="G65" i="85"/>
  <c r="B65" i="85"/>
  <c r="C65" i="85"/>
  <c r="P65" i="85"/>
  <c r="S65" i="85"/>
  <c r="AH66" i="85"/>
  <c r="G66" i="85"/>
  <c r="AF66" i="85" a="1"/>
  <c r="AF66" i="85"/>
  <c r="AJ66" i="85"/>
  <c r="AL66" i="85"/>
  <c r="AK66" i="85"/>
  <c r="AM66" i="85"/>
  <c r="AN66" i="85"/>
  <c r="B66" i="85"/>
  <c r="C66" i="85"/>
  <c r="P66" i="85"/>
  <c r="S66" i="85"/>
  <c r="AH67" i="85"/>
  <c r="G67" i="85"/>
  <c r="AF67" i="85" a="1"/>
  <c r="AF67" i="85"/>
  <c r="AJ67" i="85"/>
  <c r="AL67" i="85"/>
  <c r="AK67" i="85"/>
  <c r="AM67" i="85"/>
  <c r="AN67" i="85"/>
  <c r="B67" i="85"/>
  <c r="C67" i="85"/>
  <c r="P67" i="85"/>
  <c r="S67" i="85"/>
  <c r="G68" i="85"/>
  <c r="J68" i="85"/>
  <c r="AH68" i="85"/>
  <c r="AF68" i="85" a="1"/>
  <c r="AF68" i="85"/>
  <c r="AJ68" i="85"/>
  <c r="AL68" i="85"/>
  <c r="AK68" i="85"/>
  <c r="AM68" i="85"/>
  <c r="AN68" i="85"/>
  <c r="B68" i="85"/>
  <c r="C68" i="85"/>
  <c r="P68" i="85"/>
  <c r="S68" i="85"/>
  <c r="G69" i="85"/>
  <c r="J69" i="85"/>
  <c r="AH69" i="85"/>
  <c r="AF69" i="85" a="1"/>
  <c r="AF69" i="85"/>
  <c r="AJ69" i="85"/>
  <c r="AL69" i="85"/>
  <c r="AK69" i="85"/>
  <c r="AM69" i="85"/>
  <c r="AN69" i="85"/>
  <c r="B69" i="85"/>
  <c r="C69" i="85"/>
  <c r="P69" i="85"/>
  <c r="S69" i="85"/>
  <c r="G70" i="85"/>
  <c r="J70" i="85"/>
  <c r="AH70" i="85"/>
  <c r="AF70" i="85" a="1"/>
  <c r="AF70" i="85"/>
  <c r="AJ70" i="85"/>
  <c r="AL70" i="85"/>
  <c r="AK70" i="85"/>
  <c r="AM70" i="85"/>
  <c r="AN70" i="85"/>
  <c r="B70" i="85"/>
  <c r="C70" i="85"/>
  <c r="P70" i="85"/>
  <c r="S70" i="85"/>
  <c r="AD71" i="85"/>
  <c r="AH71" i="85"/>
  <c r="G71" i="85"/>
  <c r="AF71" i="85" a="1"/>
  <c r="AF71" i="85"/>
  <c r="AJ71" i="85"/>
  <c r="AL71" i="85"/>
  <c r="AK71" i="85"/>
  <c r="AM71" i="85"/>
  <c r="AN71" i="85"/>
  <c r="B71" i="85"/>
  <c r="C71" i="85"/>
  <c r="P71" i="85"/>
  <c r="S71" i="85"/>
  <c r="AD72" i="85"/>
  <c r="AH72" i="85"/>
  <c r="G72" i="85"/>
  <c r="AF72" i="85" a="1"/>
  <c r="AF72" i="85"/>
  <c r="AJ72" i="85"/>
  <c r="AL72" i="85"/>
  <c r="AK72" i="85"/>
  <c r="AM72" i="85"/>
  <c r="AN72" i="85"/>
  <c r="B72" i="85"/>
  <c r="C72" i="85"/>
  <c r="P72" i="85"/>
  <c r="S72" i="85"/>
  <c r="AD73" i="85"/>
  <c r="AH73" i="85"/>
  <c r="G73" i="85"/>
  <c r="AF73" i="85" a="1"/>
  <c r="AF73" i="85"/>
  <c r="AJ73" i="85"/>
  <c r="AL73" i="85"/>
  <c r="AK73" i="85"/>
  <c r="AM73" i="85"/>
  <c r="AN73" i="85"/>
  <c r="B73" i="85"/>
  <c r="C73" i="85"/>
  <c r="P73" i="85"/>
  <c r="S73" i="85"/>
  <c r="AD74" i="85"/>
  <c r="AH74" i="85"/>
  <c r="G74" i="85"/>
  <c r="AF74" i="85" a="1"/>
  <c r="AF74" i="85"/>
  <c r="AJ74" i="85"/>
  <c r="AL74" i="85"/>
  <c r="AK74" i="85"/>
  <c r="AM74" i="85"/>
  <c r="AN74" i="85"/>
  <c r="B74" i="85"/>
  <c r="C74" i="85"/>
  <c r="P74" i="85"/>
  <c r="S74" i="85"/>
  <c r="AD75" i="85"/>
  <c r="AH75" i="85"/>
  <c r="G75" i="85"/>
  <c r="AF75" i="85" a="1"/>
  <c r="AF75" i="85"/>
  <c r="AJ75" i="85"/>
  <c r="AL75" i="85"/>
  <c r="AK75" i="85"/>
  <c r="AM75" i="85"/>
  <c r="AN75" i="85"/>
  <c r="B75" i="85"/>
  <c r="C75" i="85"/>
  <c r="P75" i="85"/>
  <c r="S75" i="85"/>
  <c r="AD76" i="85"/>
  <c r="AH76" i="85"/>
  <c r="G76" i="85"/>
  <c r="AF76" i="85" a="1"/>
  <c r="AF76" i="85"/>
  <c r="AJ76" i="85"/>
  <c r="AL76" i="85"/>
  <c r="AK76" i="85"/>
  <c r="AM76" i="85"/>
  <c r="AN76" i="85"/>
  <c r="B76" i="85"/>
  <c r="C76" i="85"/>
  <c r="P76" i="85"/>
  <c r="S76" i="85"/>
  <c r="AD77" i="85"/>
  <c r="AH77" i="85"/>
  <c r="G77" i="85"/>
  <c r="AF77" i="85" a="1"/>
  <c r="AF77" i="85"/>
  <c r="AJ77" i="85"/>
  <c r="AL77" i="85"/>
  <c r="AK77" i="85"/>
  <c r="AM77" i="85"/>
  <c r="AN77" i="85"/>
  <c r="B77" i="85"/>
  <c r="C77" i="85"/>
  <c r="P77" i="85"/>
  <c r="S77" i="85"/>
  <c r="AD78" i="85"/>
  <c r="AH78" i="85"/>
  <c r="G78" i="85"/>
  <c r="AF78" i="85" a="1"/>
  <c r="AF78" i="85"/>
  <c r="AJ78" i="85"/>
  <c r="AL78" i="85"/>
  <c r="AK78" i="85"/>
  <c r="AM78" i="85"/>
  <c r="AN78" i="85"/>
  <c r="B78" i="85"/>
  <c r="C78" i="85"/>
  <c r="P78" i="85"/>
  <c r="S78" i="85"/>
  <c r="AD79" i="85"/>
  <c r="AH79" i="85"/>
  <c r="G79" i="85"/>
  <c r="AF79" i="85" a="1"/>
  <c r="AF79" i="85"/>
  <c r="AJ79" i="85"/>
  <c r="AL79" i="85"/>
  <c r="AK79" i="85"/>
  <c r="AM79" i="85"/>
  <c r="AN79" i="85"/>
  <c r="B79" i="85"/>
  <c r="C79" i="85"/>
  <c r="P79" i="85"/>
  <c r="S79" i="85"/>
  <c r="AD80" i="85"/>
  <c r="AH80" i="85"/>
  <c r="G80" i="85"/>
  <c r="AF80" i="85" a="1"/>
  <c r="AF80" i="85"/>
  <c r="AJ80" i="85"/>
  <c r="AL80" i="85"/>
  <c r="AK80" i="85"/>
  <c r="AM80" i="85"/>
  <c r="AN80" i="85"/>
  <c r="B80" i="85"/>
  <c r="C80" i="85"/>
  <c r="P80" i="85"/>
  <c r="S80" i="85"/>
  <c r="AD81" i="85"/>
  <c r="AH81" i="85"/>
  <c r="G81" i="85"/>
  <c r="AF81" i="85" a="1"/>
  <c r="AF81" i="85"/>
  <c r="AJ81" i="85"/>
  <c r="AL81" i="85"/>
  <c r="AK81" i="85"/>
  <c r="AM81" i="85"/>
  <c r="AN81" i="85"/>
  <c r="B81" i="85"/>
  <c r="C81" i="85"/>
  <c r="P81" i="85"/>
  <c r="S81" i="85"/>
  <c r="AD82" i="85"/>
  <c r="AH82" i="85"/>
  <c r="G82" i="85"/>
  <c r="AF82" i="85" a="1"/>
  <c r="AF82" i="85"/>
  <c r="AJ82" i="85"/>
  <c r="AL82" i="85"/>
  <c r="AK82" i="85"/>
  <c r="AM82" i="85"/>
  <c r="AN82" i="85"/>
  <c r="B82" i="85"/>
  <c r="C82" i="85"/>
  <c r="P82" i="85"/>
  <c r="S82" i="85"/>
  <c r="AD83" i="85"/>
  <c r="AH83" i="85"/>
  <c r="G83" i="85"/>
  <c r="AF83" i="85" a="1"/>
  <c r="AF83" i="85"/>
  <c r="AJ83" i="85"/>
  <c r="AL83" i="85"/>
  <c r="AK83" i="85"/>
  <c r="AM83" i="85"/>
  <c r="AN83" i="85"/>
  <c r="B83" i="85"/>
  <c r="C83" i="85"/>
  <c r="P83" i="85"/>
  <c r="S83" i="85"/>
  <c r="AD84" i="85"/>
  <c r="AH84" i="85"/>
  <c r="G84" i="85"/>
  <c r="AF84" i="85" a="1"/>
  <c r="AF84" i="85"/>
  <c r="AJ84" i="85"/>
  <c r="AL84" i="85"/>
  <c r="AK84" i="85"/>
  <c r="AM84" i="85"/>
  <c r="AN84" i="85"/>
  <c r="B84" i="85"/>
  <c r="C84" i="85"/>
  <c r="P84" i="85"/>
  <c r="S84" i="85"/>
  <c r="AD85" i="85"/>
  <c r="AH85" i="85"/>
  <c r="G85" i="85"/>
  <c r="AF85" i="85" a="1"/>
  <c r="AF85" i="85"/>
  <c r="AJ85" i="85"/>
  <c r="AL85" i="85"/>
  <c r="AK85" i="85"/>
  <c r="AM85" i="85"/>
  <c r="AN85" i="85"/>
  <c r="B85" i="85"/>
  <c r="C85" i="85"/>
  <c r="P85" i="85"/>
  <c r="S85" i="85"/>
  <c r="AD86" i="85"/>
  <c r="AH86" i="85"/>
  <c r="G86" i="85"/>
  <c r="AF86" i="85" a="1"/>
  <c r="AF86" i="85"/>
  <c r="AJ86" i="85"/>
  <c r="AL86" i="85"/>
  <c r="AK86" i="85"/>
  <c r="AM86" i="85"/>
  <c r="AN86" i="85"/>
  <c r="B86" i="85"/>
  <c r="C86" i="85"/>
  <c r="P86" i="85"/>
  <c r="S86" i="85"/>
  <c r="AD87" i="85"/>
  <c r="AH87" i="85"/>
  <c r="G87" i="85"/>
  <c r="AF87" i="85" a="1"/>
  <c r="AF87" i="85"/>
  <c r="AJ87" i="85"/>
  <c r="AL87" i="85"/>
  <c r="AK87" i="85"/>
  <c r="AM87" i="85"/>
  <c r="AN87" i="85"/>
  <c r="B87" i="85"/>
  <c r="C87" i="85"/>
  <c r="P87" i="85"/>
  <c r="S87" i="85"/>
  <c r="AD88" i="85"/>
  <c r="AH88" i="85"/>
  <c r="G88" i="85"/>
  <c r="AF88" i="85" a="1"/>
  <c r="AF88" i="85"/>
  <c r="AJ88" i="85"/>
  <c r="AL88" i="85"/>
  <c r="AK88" i="85"/>
  <c r="AM88" i="85"/>
  <c r="AN88" i="85"/>
  <c r="B88" i="85"/>
  <c r="C88" i="85"/>
  <c r="P88" i="85"/>
  <c r="S88" i="85"/>
  <c r="AD89" i="85"/>
  <c r="AH89" i="85"/>
  <c r="G89" i="85"/>
  <c r="AF89" i="85" a="1"/>
  <c r="AF89" i="85"/>
  <c r="AJ89" i="85"/>
  <c r="AL89" i="85"/>
  <c r="AK89" i="85"/>
  <c r="AM89" i="85"/>
  <c r="AN89" i="85"/>
  <c r="B89" i="85"/>
  <c r="C89" i="85"/>
  <c r="P89" i="85"/>
  <c r="S89" i="85"/>
  <c r="AD90" i="85"/>
  <c r="AH90" i="85"/>
  <c r="G90" i="85"/>
  <c r="AF90" i="85" a="1"/>
  <c r="AF90" i="85"/>
  <c r="AJ90" i="85"/>
  <c r="AL90" i="85"/>
  <c r="AK90" i="85"/>
  <c r="AM90" i="85"/>
  <c r="AN90" i="85"/>
  <c r="B90" i="85"/>
  <c r="C90" i="85"/>
  <c r="P90" i="85"/>
  <c r="S90" i="85"/>
  <c r="AH91" i="85"/>
  <c r="G91" i="85"/>
  <c r="AF91" i="85" a="1"/>
  <c r="AF91" i="85"/>
  <c r="AJ91" i="85"/>
  <c r="AL91" i="85"/>
  <c r="AK91" i="85"/>
  <c r="AM91" i="85"/>
  <c r="AN91" i="85"/>
  <c r="B91" i="85"/>
  <c r="C91" i="85"/>
  <c r="P91" i="85"/>
  <c r="S91" i="85"/>
  <c r="AH92" i="85"/>
  <c r="G92" i="85"/>
  <c r="AF92" i="85" a="1"/>
  <c r="AF92" i="85"/>
  <c r="AJ92" i="85"/>
  <c r="AL92" i="85"/>
  <c r="AK92" i="85"/>
  <c r="AM92" i="85"/>
  <c r="AN92" i="85"/>
  <c r="B92" i="85"/>
  <c r="C92" i="85"/>
  <c r="P92" i="85"/>
  <c r="S92" i="85"/>
  <c r="AH93" i="85"/>
  <c r="G93" i="85"/>
  <c r="AF93" i="85" a="1"/>
  <c r="AF93" i="85"/>
  <c r="AJ93" i="85"/>
  <c r="AL93" i="85"/>
  <c r="AK93" i="85"/>
  <c r="AM93" i="85"/>
  <c r="AN93" i="85"/>
  <c r="B93" i="85"/>
  <c r="C93" i="85"/>
  <c r="P93" i="85"/>
  <c r="S93" i="85"/>
  <c r="AH94" i="85"/>
  <c r="G94" i="85"/>
  <c r="AF94" i="85" a="1"/>
  <c r="AF94" i="85"/>
  <c r="AJ94" i="85"/>
  <c r="AL94" i="85"/>
  <c r="AK94" i="85"/>
  <c r="AM94" i="85"/>
  <c r="AN94" i="85"/>
  <c r="B94" i="85"/>
  <c r="C94" i="85"/>
  <c r="P94" i="85"/>
  <c r="S94" i="85"/>
  <c r="AH95" i="85"/>
  <c r="G95" i="85"/>
  <c r="AF95" i="85" a="1"/>
  <c r="AF95" i="85"/>
  <c r="AJ95" i="85"/>
  <c r="AL95" i="85"/>
  <c r="AK95" i="85"/>
  <c r="AM95" i="85"/>
  <c r="AN95" i="85"/>
  <c r="B95" i="85"/>
  <c r="C95" i="85"/>
  <c r="P95" i="85"/>
  <c r="S95" i="85"/>
  <c r="AH96" i="85"/>
  <c r="G96" i="85"/>
  <c r="AF96" i="85" a="1"/>
  <c r="AF96" i="85"/>
  <c r="AJ96" i="85"/>
  <c r="AL96" i="85"/>
  <c r="AK96" i="85"/>
  <c r="AM96" i="85"/>
  <c r="AN96" i="85"/>
  <c r="B96" i="85"/>
  <c r="C96" i="85"/>
  <c r="P96" i="85"/>
  <c r="S96" i="85"/>
  <c r="AH97" i="85"/>
  <c r="G97" i="85"/>
  <c r="AF97" i="85" a="1"/>
  <c r="AF97" i="85"/>
  <c r="AJ97" i="85"/>
  <c r="AL97" i="85"/>
  <c r="AK97" i="85"/>
  <c r="AM97" i="85"/>
  <c r="AN97" i="85"/>
  <c r="B97" i="85"/>
  <c r="C97" i="85"/>
  <c r="P97" i="85"/>
  <c r="S97" i="85"/>
  <c r="AH98" i="85"/>
  <c r="G98" i="85"/>
  <c r="AF98" i="85" a="1"/>
  <c r="AF98" i="85"/>
  <c r="AJ98" i="85"/>
  <c r="AL98" i="85"/>
  <c r="AK98" i="85"/>
  <c r="AM98" i="85"/>
  <c r="AN98" i="85"/>
  <c r="B98" i="85"/>
  <c r="C98" i="85"/>
  <c r="P98" i="85"/>
  <c r="S98" i="85"/>
  <c r="AH99" i="85"/>
  <c r="G99" i="85"/>
  <c r="AF99" i="85" a="1"/>
  <c r="AF99" i="85"/>
  <c r="AJ99" i="85"/>
  <c r="AL99" i="85"/>
  <c r="AK99" i="85"/>
  <c r="AM99" i="85"/>
  <c r="AN99" i="85"/>
  <c r="B99" i="85"/>
  <c r="C99" i="85"/>
  <c r="P99" i="85"/>
  <c r="S99" i="85"/>
  <c r="G100" i="85"/>
  <c r="J100" i="85"/>
  <c r="AH100" i="85"/>
  <c r="AF100" i="85" a="1"/>
  <c r="AF100" i="85"/>
  <c r="AJ100" i="85"/>
  <c r="AL100" i="85"/>
  <c r="AK100" i="85"/>
  <c r="AM100" i="85"/>
  <c r="AN100" i="85"/>
  <c r="B100" i="85"/>
  <c r="C100" i="85"/>
  <c r="P100" i="85"/>
  <c r="S100" i="85"/>
  <c r="G101" i="85"/>
  <c r="J101" i="85"/>
  <c r="AH101" i="85"/>
  <c r="AF101" i="85" a="1"/>
  <c r="AF101" i="85"/>
  <c r="AJ101" i="85"/>
  <c r="AL101" i="85"/>
  <c r="AK101" i="85"/>
  <c r="AM101" i="85"/>
  <c r="AN101" i="85"/>
  <c r="B101" i="85"/>
  <c r="C101" i="85"/>
  <c r="P101" i="85"/>
  <c r="S101" i="85"/>
  <c r="AD102" i="85"/>
  <c r="AH102" i="85"/>
  <c r="G102" i="85"/>
  <c r="AF102" i="85" a="1"/>
  <c r="AF102" i="85"/>
  <c r="AJ102" i="85"/>
  <c r="AL102" i="85"/>
  <c r="AK102" i="85"/>
  <c r="AM102" i="85"/>
  <c r="AN102" i="85"/>
  <c r="B102" i="85"/>
  <c r="C102" i="85"/>
  <c r="P102" i="85"/>
  <c r="S102" i="85"/>
  <c r="AD103" i="85"/>
  <c r="AH103" i="85"/>
  <c r="G103" i="85"/>
  <c r="AF103" i="85" a="1"/>
  <c r="AF103" i="85"/>
  <c r="AJ103" i="85"/>
  <c r="AL103" i="85"/>
  <c r="AK103" i="85"/>
  <c r="AM103" i="85"/>
  <c r="AN103" i="85"/>
  <c r="B103" i="85"/>
  <c r="C103" i="85"/>
  <c r="P103" i="85"/>
  <c r="S103" i="85"/>
  <c r="AD104" i="85"/>
  <c r="AH104" i="85"/>
  <c r="G104" i="85"/>
  <c r="AF104" i="85" a="1"/>
  <c r="AF104" i="85"/>
  <c r="AJ104" i="85"/>
  <c r="AL104" i="85"/>
  <c r="AK104" i="85"/>
  <c r="AM104" i="85"/>
  <c r="AN104" i="85"/>
  <c r="B104" i="85"/>
  <c r="C104" i="85"/>
  <c r="P104" i="85"/>
  <c r="S104" i="85"/>
  <c r="AD105" i="85"/>
  <c r="AH105" i="85"/>
  <c r="G105" i="85"/>
  <c r="AF105" i="85" a="1"/>
  <c r="AF105" i="85"/>
  <c r="AJ105" i="85"/>
  <c r="AL105" i="85"/>
  <c r="AK105" i="85"/>
  <c r="AM105" i="85"/>
  <c r="AN105" i="85"/>
  <c r="B105" i="85"/>
  <c r="C105" i="85"/>
  <c r="P105" i="85"/>
  <c r="S105" i="85"/>
  <c r="AD106" i="85"/>
  <c r="AH106" i="85"/>
  <c r="G106" i="85"/>
  <c r="AF106" i="85" a="1"/>
  <c r="AF106" i="85"/>
  <c r="AJ106" i="85"/>
  <c r="AL106" i="85"/>
  <c r="AK106" i="85"/>
  <c r="AM106" i="85"/>
  <c r="AN106" i="85"/>
  <c r="B106" i="85"/>
  <c r="C106" i="85"/>
  <c r="P106" i="85"/>
  <c r="S106" i="85"/>
  <c r="AD107" i="85"/>
  <c r="AH107" i="85"/>
  <c r="G107" i="85"/>
  <c r="AF107" i="85" a="1"/>
  <c r="AF107" i="85"/>
  <c r="AJ107" i="85"/>
  <c r="AL107" i="85"/>
  <c r="AK107" i="85"/>
  <c r="AM107" i="85"/>
  <c r="AN107" i="85"/>
  <c r="B107" i="85"/>
  <c r="C107" i="85"/>
  <c r="P107" i="85"/>
  <c r="S107" i="85"/>
  <c r="AD108" i="85"/>
  <c r="AH108" i="85"/>
  <c r="G108" i="85"/>
  <c r="AF108" i="85" a="1"/>
  <c r="AF108" i="85"/>
  <c r="AJ108" i="85"/>
  <c r="AL108" i="85"/>
  <c r="AK108" i="85"/>
  <c r="AM108" i="85"/>
  <c r="AN108" i="85"/>
  <c r="B108" i="85"/>
  <c r="C108" i="85"/>
  <c r="P108" i="85"/>
  <c r="S108" i="85"/>
  <c r="AD109" i="85"/>
  <c r="AH109" i="85"/>
  <c r="G109" i="85"/>
  <c r="AF109" i="85" a="1"/>
  <c r="AF109" i="85"/>
  <c r="AJ109" i="85"/>
  <c r="AL109" i="85"/>
  <c r="AK109" i="85"/>
  <c r="AM109" i="85"/>
  <c r="AN109" i="85"/>
  <c r="B109" i="85"/>
  <c r="C109" i="85"/>
  <c r="P109" i="85"/>
  <c r="S109" i="85"/>
  <c r="AD110" i="85"/>
  <c r="AH110" i="85"/>
  <c r="G110" i="85"/>
  <c r="AF110" i="85" a="1"/>
  <c r="AF110" i="85"/>
  <c r="AJ110" i="85"/>
  <c r="AL110" i="85"/>
  <c r="AK110" i="85"/>
  <c r="AM110" i="85"/>
  <c r="AN110" i="85"/>
  <c r="B110" i="85"/>
  <c r="C110" i="85"/>
  <c r="P110" i="85"/>
  <c r="S110" i="85"/>
  <c r="AD111" i="85"/>
  <c r="AH111" i="85"/>
  <c r="G111" i="85"/>
  <c r="AF111" i="85" a="1"/>
  <c r="AF111" i="85"/>
  <c r="AJ111" i="85"/>
  <c r="AL111" i="85"/>
  <c r="AK111" i="85"/>
  <c r="AM111" i="85"/>
  <c r="AN111" i="85"/>
  <c r="B111" i="85"/>
  <c r="C111" i="85"/>
  <c r="P111" i="85"/>
  <c r="S111" i="85"/>
  <c r="AD112" i="85"/>
  <c r="AH112" i="85"/>
  <c r="G112" i="85"/>
  <c r="AF112" i="85" a="1"/>
  <c r="AF112" i="85"/>
  <c r="AJ112" i="85"/>
  <c r="AL112" i="85"/>
  <c r="AK112" i="85"/>
  <c r="AM112" i="85"/>
  <c r="AN112" i="85"/>
  <c r="B112" i="85"/>
  <c r="C112" i="85"/>
  <c r="P112" i="85"/>
  <c r="S112" i="85"/>
  <c r="AD113" i="85"/>
  <c r="AH113" i="85"/>
  <c r="G113" i="85"/>
  <c r="AF113" i="85" a="1"/>
  <c r="AF113" i="85"/>
  <c r="AJ113" i="85"/>
  <c r="AL113" i="85"/>
  <c r="AK113" i="85"/>
  <c r="AM113" i="85"/>
  <c r="AN113" i="85"/>
  <c r="B113" i="85"/>
  <c r="C113" i="85"/>
  <c r="P113" i="85"/>
  <c r="S113" i="85"/>
  <c r="AD114" i="85"/>
  <c r="AH114" i="85"/>
  <c r="G114" i="85"/>
  <c r="AF114" i="85" a="1"/>
  <c r="AF114" i="85"/>
  <c r="AJ114" i="85"/>
  <c r="AL114" i="85"/>
  <c r="AK114" i="85"/>
  <c r="AM114" i="85"/>
  <c r="AN114" i="85"/>
  <c r="B114" i="85"/>
  <c r="C114" i="85"/>
  <c r="P114" i="85"/>
  <c r="S114" i="85"/>
  <c r="AD115" i="85"/>
  <c r="AH115" i="85"/>
  <c r="G115" i="85"/>
  <c r="AF115" i="85" a="1"/>
  <c r="AF115" i="85"/>
  <c r="AJ115" i="85"/>
  <c r="AL115" i="85"/>
  <c r="AK115" i="85"/>
  <c r="AM115" i="85"/>
  <c r="AN115" i="85"/>
  <c r="B115" i="85"/>
  <c r="C115" i="85"/>
  <c r="P115" i="85"/>
  <c r="S115" i="85"/>
  <c r="AD116" i="85"/>
  <c r="AH116" i="85"/>
  <c r="G116" i="85"/>
  <c r="AF116" i="85" a="1"/>
  <c r="AF116" i="85"/>
  <c r="AJ116" i="85"/>
  <c r="AL116" i="85"/>
  <c r="AK116" i="85"/>
  <c r="AM116" i="85"/>
  <c r="AN116" i="85"/>
  <c r="B116" i="85"/>
  <c r="C116" i="85"/>
  <c r="P116" i="85"/>
  <c r="S116" i="85"/>
  <c r="AD117" i="85"/>
  <c r="AH117" i="85"/>
  <c r="G117" i="85"/>
  <c r="AF117" i="85" a="1"/>
  <c r="AF117" i="85"/>
  <c r="AJ117" i="85"/>
  <c r="AL117" i="85"/>
  <c r="AK117" i="85"/>
  <c r="AM117" i="85"/>
  <c r="AN117" i="85"/>
  <c r="B117" i="85"/>
  <c r="C117" i="85"/>
  <c r="P117" i="85"/>
  <c r="S117" i="85"/>
  <c r="AD118" i="85"/>
  <c r="AH118" i="85"/>
  <c r="G118" i="85"/>
  <c r="AF118" i="85" a="1"/>
  <c r="AF118" i="85"/>
  <c r="AJ118" i="85"/>
  <c r="AL118" i="85"/>
  <c r="AK118" i="85"/>
  <c r="AM118" i="85"/>
  <c r="AN118" i="85"/>
  <c r="B118" i="85"/>
  <c r="C118" i="85"/>
  <c r="P118" i="85"/>
  <c r="S118" i="85"/>
  <c r="AD119" i="85"/>
  <c r="AH119" i="85"/>
  <c r="G119" i="85"/>
  <c r="AF119" i="85" a="1"/>
  <c r="AF119" i="85"/>
  <c r="AJ119" i="85"/>
  <c r="AL119" i="85"/>
  <c r="AK119" i="85"/>
  <c r="AM119" i="85"/>
  <c r="AN119" i="85"/>
  <c r="B119" i="85"/>
  <c r="C119" i="85"/>
  <c r="P119" i="85"/>
  <c r="S119" i="85"/>
  <c r="AD120" i="85"/>
  <c r="AH120" i="85"/>
  <c r="G120" i="85"/>
  <c r="AF120" i="85" a="1"/>
  <c r="AF120" i="85"/>
  <c r="AJ120" i="85"/>
  <c r="AL120" i="85"/>
  <c r="AK120" i="85"/>
  <c r="AM120" i="85"/>
  <c r="AN120" i="85"/>
  <c r="B120" i="85"/>
  <c r="C120" i="85"/>
  <c r="P120" i="85"/>
  <c r="S120" i="85"/>
  <c r="AD121" i="85"/>
  <c r="AH121" i="85"/>
  <c r="G121" i="85"/>
  <c r="AF121" i="85" a="1"/>
  <c r="AF121" i="85"/>
  <c r="AJ121" i="85"/>
  <c r="AL121" i="85"/>
  <c r="AK121" i="85"/>
  <c r="AM121" i="85"/>
  <c r="AN121" i="85"/>
  <c r="B121" i="85"/>
  <c r="C121" i="85"/>
  <c r="P121" i="85"/>
  <c r="S121" i="85"/>
  <c r="AH122" i="85"/>
  <c r="G122" i="85"/>
  <c r="AF122" i="85" a="1"/>
  <c r="AF122" i="85"/>
  <c r="AJ122" i="85"/>
  <c r="AL122" i="85"/>
  <c r="AK122" i="85"/>
  <c r="AM122" i="85"/>
  <c r="AN122" i="85"/>
  <c r="B122" i="85"/>
  <c r="C122" i="85"/>
  <c r="P122" i="85"/>
  <c r="S122" i="85"/>
  <c r="AH123" i="85"/>
  <c r="G123" i="85"/>
  <c r="AF123" i="85" a="1"/>
  <c r="AF123" i="85"/>
  <c r="AJ123" i="85"/>
  <c r="AL123" i="85"/>
  <c r="AK123" i="85"/>
  <c r="AM123" i="85"/>
  <c r="AN123" i="85"/>
  <c r="B123" i="85"/>
  <c r="C123" i="85"/>
  <c r="P123" i="85"/>
  <c r="S123" i="85"/>
  <c r="AH124" i="85"/>
  <c r="G124" i="85"/>
  <c r="AF124" i="85" a="1"/>
  <c r="AF124" i="85"/>
  <c r="AJ124" i="85"/>
  <c r="AL124" i="85"/>
  <c r="AK124" i="85"/>
  <c r="AM124" i="85"/>
  <c r="AN124" i="85"/>
  <c r="B124" i="85"/>
  <c r="C124" i="85"/>
  <c r="P124" i="85"/>
  <c r="S124" i="85"/>
  <c r="AH125" i="85"/>
  <c r="G125" i="85"/>
  <c r="AF125" i="85" a="1"/>
  <c r="AF125" i="85"/>
  <c r="AJ125" i="85"/>
  <c r="AL125" i="85"/>
  <c r="AK125" i="85"/>
  <c r="AM125" i="85"/>
  <c r="AN125" i="85"/>
  <c r="B125" i="85"/>
  <c r="C125" i="85"/>
  <c r="P125" i="85"/>
  <c r="S125" i="85"/>
  <c r="AH126" i="85"/>
  <c r="G126" i="85"/>
  <c r="AF126" i="85" a="1"/>
  <c r="AF126" i="85"/>
  <c r="AJ126" i="85"/>
  <c r="AL126" i="85"/>
  <c r="AK126" i="85"/>
  <c r="AM126" i="85"/>
  <c r="AN126" i="85"/>
  <c r="B126" i="85"/>
  <c r="C126" i="85"/>
  <c r="P126" i="85"/>
  <c r="S126" i="85"/>
  <c r="AH127" i="85"/>
  <c r="G127" i="85"/>
  <c r="AF127" i="85" a="1"/>
  <c r="AF127" i="85"/>
  <c r="AJ127" i="85"/>
  <c r="AL127" i="85"/>
  <c r="AK127" i="85"/>
  <c r="AM127" i="85"/>
  <c r="AN127" i="85"/>
  <c r="B127" i="85"/>
  <c r="C127" i="85"/>
  <c r="P127" i="85"/>
  <c r="S127" i="85"/>
  <c r="AH128" i="85"/>
  <c r="G128" i="85"/>
  <c r="AF128" i="85" a="1"/>
  <c r="AF128" i="85"/>
  <c r="AJ128" i="85"/>
  <c r="AL128" i="85"/>
  <c r="AK128" i="85"/>
  <c r="AM128" i="85"/>
  <c r="AN128" i="85"/>
  <c r="B128" i="85"/>
  <c r="C128" i="85"/>
  <c r="P128" i="85"/>
  <c r="S128" i="85"/>
  <c r="AH129" i="85"/>
  <c r="G129" i="85"/>
  <c r="AF129" i="85" a="1"/>
  <c r="AF129" i="85"/>
  <c r="AJ129" i="85"/>
  <c r="AL129" i="85"/>
  <c r="AK129" i="85"/>
  <c r="AM129" i="85"/>
  <c r="AN129" i="85"/>
  <c r="B129" i="85"/>
  <c r="C129" i="85"/>
  <c r="P129" i="85"/>
  <c r="S129" i="85"/>
  <c r="AH130" i="85"/>
  <c r="G130" i="85"/>
  <c r="AF130" i="85" a="1"/>
  <c r="AF130" i="85"/>
  <c r="AJ130" i="85"/>
  <c r="AL130" i="85"/>
  <c r="AK130" i="85"/>
  <c r="AM130" i="85"/>
  <c r="AN130" i="85"/>
  <c r="B130" i="85"/>
  <c r="C130" i="85"/>
  <c r="P130" i="85"/>
  <c r="S130" i="85"/>
  <c r="AH131" i="85"/>
  <c r="G131" i="85"/>
  <c r="AF131" i="85" a="1"/>
  <c r="AF131" i="85"/>
  <c r="AJ131" i="85"/>
  <c r="AL131" i="85"/>
  <c r="AK131" i="85"/>
  <c r="AM131" i="85"/>
  <c r="AN131" i="85"/>
  <c r="B131" i="85"/>
  <c r="C131" i="85"/>
  <c r="P131" i="85"/>
  <c r="S131" i="85"/>
  <c r="AH132" i="85"/>
  <c r="G132" i="85"/>
  <c r="AF132" i="85" a="1"/>
  <c r="AF132" i="85"/>
  <c r="AJ132" i="85"/>
  <c r="AL132" i="85"/>
  <c r="AK132" i="85"/>
  <c r="AM132" i="85"/>
  <c r="AN132" i="85"/>
  <c r="B132" i="85"/>
  <c r="C132" i="85"/>
  <c r="P132" i="85"/>
  <c r="S132" i="85"/>
  <c r="AH133" i="85"/>
  <c r="G133" i="85"/>
  <c r="AF133" i="85" a="1"/>
  <c r="AF133" i="85"/>
  <c r="AJ133" i="85"/>
  <c r="AL133" i="85"/>
  <c r="AK133" i="85"/>
  <c r="AM133" i="85"/>
  <c r="AN133" i="85"/>
  <c r="B133" i="85"/>
  <c r="C133" i="85"/>
  <c r="P133" i="85"/>
  <c r="S133" i="85"/>
  <c r="AH134" i="85"/>
  <c r="G134" i="85"/>
  <c r="AF134" i="85" a="1"/>
  <c r="AF134" i="85"/>
  <c r="AJ134" i="85"/>
  <c r="AL134" i="85"/>
  <c r="AK134" i="85"/>
  <c r="AM134" i="85"/>
  <c r="AN134" i="85"/>
  <c r="B134" i="85"/>
  <c r="C134" i="85"/>
  <c r="P134" i="85"/>
  <c r="S134" i="85"/>
  <c r="AH135" i="85"/>
  <c r="G135" i="85"/>
  <c r="AF135" i="85" a="1"/>
  <c r="AF135" i="85"/>
  <c r="AJ135" i="85"/>
  <c r="AL135" i="85"/>
  <c r="AK135" i="85"/>
  <c r="AM135" i="85"/>
  <c r="AN135" i="85"/>
  <c r="B135" i="85"/>
  <c r="C135" i="85"/>
  <c r="P135" i="85"/>
  <c r="S135" i="85"/>
  <c r="AH136" i="85"/>
  <c r="G136" i="85"/>
  <c r="AF136" i="85" a="1"/>
  <c r="AF136" i="85"/>
  <c r="AJ136" i="85"/>
  <c r="AL136" i="85"/>
  <c r="AK136" i="85"/>
  <c r="AM136" i="85"/>
  <c r="AN136" i="85"/>
  <c r="B136" i="85"/>
  <c r="C136" i="85"/>
  <c r="P136" i="85"/>
  <c r="S136" i="85"/>
  <c r="AH137" i="85"/>
  <c r="G137" i="85"/>
  <c r="AF137" i="85" a="1"/>
  <c r="AF137" i="85"/>
  <c r="AJ137" i="85"/>
  <c r="AL137" i="85"/>
  <c r="AK137" i="85"/>
  <c r="AM137" i="85"/>
  <c r="AN137" i="85"/>
  <c r="B137" i="85"/>
  <c r="C137" i="85"/>
  <c r="P137" i="85"/>
  <c r="S137" i="85"/>
  <c r="AH138" i="85"/>
  <c r="G138" i="85"/>
  <c r="AF138" i="85" a="1"/>
  <c r="AF138" i="85"/>
  <c r="AJ138" i="85"/>
  <c r="AL138" i="85"/>
  <c r="AK138" i="85"/>
  <c r="AM138" i="85"/>
  <c r="AN138" i="85"/>
  <c r="B138" i="85"/>
  <c r="C138" i="85"/>
  <c r="P138" i="85"/>
  <c r="S138" i="85"/>
  <c r="AH139" i="85"/>
  <c r="G139" i="85"/>
  <c r="AF139" i="85" a="1"/>
  <c r="AF139" i="85"/>
  <c r="AJ139" i="85"/>
  <c r="AL139" i="85"/>
  <c r="AK139" i="85"/>
  <c r="AM139" i="85"/>
  <c r="AN139" i="85"/>
  <c r="B139" i="85"/>
  <c r="C139" i="85"/>
  <c r="P139" i="85"/>
  <c r="S139" i="85"/>
  <c r="AH140" i="85"/>
  <c r="G140" i="85"/>
  <c r="AF140" i="85" a="1"/>
  <c r="AF140" i="85"/>
  <c r="AJ140" i="85"/>
  <c r="AL140" i="85"/>
  <c r="AK140" i="85"/>
  <c r="AM140" i="85"/>
  <c r="AN140" i="85"/>
  <c r="B140" i="85"/>
  <c r="C140" i="85"/>
  <c r="P140" i="85"/>
  <c r="S140" i="85"/>
  <c r="AH141" i="85"/>
  <c r="G141" i="85"/>
  <c r="AF141" i="85" a="1"/>
  <c r="AF141" i="85"/>
  <c r="AJ141" i="85"/>
  <c r="AL141" i="85"/>
  <c r="AK141" i="85"/>
  <c r="AM141" i="85"/>
  <c r="AN141" i="85"/>
  <c r="B141" i="85"/>
  <c r="C141" i="85"/>
  <c r="P141" i="85"/>
  <c r="S141" i="85"/>
  <c r="AH142" i="85"/>
  <c r="G142" i="85"/>
  <c r="AF142" i="85" a="1"/>
  <c r="AF142" i="85"/>
  <c r="AJ142" i="85"/>
  <c r="AL142" i="85"/>
  <c r="AK142" i="85"/>
  <c r="AM142" i="85"/>
  <c r="AN142" i="85"/>
  <c r="B142" i="85"/>
  <c r="C142" i="85"/>
  <c r="P142" i="85"/>
  <c r="S142" i="85"/>
  <c r="AH143" i="85"/>
  <c r="G143" i="85"/>
  <c r="AF143" i="85" a="1"/>
  <c r="AF143" i="85"/>
  <c r="AJ143" i="85"/>
  <c r="AL143" i="85"/>
  <c r="AK143" i="85"/>
  <c r="AM143" i="85"/>
  <c r="AN143" i="85"/>
  <c r="B143" i="85"/>
  <c r="C143" i="85"/>
  <c r="P143" i="85"/>
  <c r="S143" i="85"/>
  <c r="AH144" i="85"/>
  <c r="G144" i="85"/>
  <c r="AF144" i="85" a="1"/>
  <c r="AF144" i="85"/>
  <c r="AJ144" i="85"/>
  <c r="AL144" i="85"/>
  <c r="AK144" i="85"/>
  <c r="AM144" i="85"/>
  <c r="AN144" i="85"/>
  <c r="B144" i="85"/>
  <c r="C144" i="85"/>
  <c r="P144" i="85"/>
  <c r="S144" i="85"/>
  <c r="G145" i="85"/>
  <c r="J145" i="85"/>
  <c r="AH145" i="85"/>
  <c r="AF145" i="85" a="1"/>
  <c r="AF145" i="85"/>
  <c r="AJ145" i="85"/>
  <c r="AL145" i="85"/>
  <c r="AK145" i="85"/>
  <c r="AM145" i="85"/>
  <c r="AN145" i="85"/>
  <c r="B145" i="85"/>
  <c r="C145" i="85"/>
  <c r="P145" i="85"/>
  <c r="S145" i="85"/>
  <c r="AD146" i="85"/>
  <c r="AH146" i="85"/>
  <c r="G146" i="85"/>
  <c r="AF146" i="85" a="1"/>
  <c r="AF146" i="85"/>
  <c r="AJ146" i="85"/>
  <c r="AL146" i="85"/>
  <c r="AK146" i="85"/>
  <c r="AM146" i="85"/>
  <c r="AN146" i="85"/>
  <c r="B146" i="85"/>
  <c r="C146" i="85"/>
  <c r="P146" i="85"/>
  <c r="S146" i="85"/>
  <c r="AD147" i="85"/>
  <c r="AH147" i="85"/>
  <c r="G147" i="85"/>
  <c r="AF147" i="85" a="1"/>
  <c r="AF147" i="85"/>
  <c r="AJ147" i="85"/>
  <c r="AL147" i="85"/>
  <c r="AK147" i="85"/>
  <c r="AM147" i="85"/>
  <c r="AN147" i="85"/>
  <c r="B147" i="85"/>
  <c r="C147" i="85"/>
  <c r="P147" i="85"/>
  <c r="S147" i="85"/>
  <c r="AD148" i="85"/>
  <c r="AH148" i="85"/>
  <c r="G148" i="85"/>
  <c r="AF148" i="85" a="1"/>
  <c r="AF148" i="85"/>
  <c r="AJ148" i="85"/>
  <c r="AL148" i="85"/>
  <c r="AK148" i="85"/>
  <c r="AM148" i="85"/>
  <c r="AN148" i="85"/>
  <c r="B148" i="85"/>
  <c r="C148" i="85"/>
  <c r="P148" i="85"/>
  <c r="S148" i="85"/>
  <c r="AD149" i="85"/>
  <c r="AH149" i="85"/>
  <c r="G149" i="85"/>
  <c r="AF149" i="85" a="1"/>
  <c r="AF149" i="85"/>
  <c r="AJ149" i="85"/>
  <c r="AL149" i="85"/>
  <c r="AK149" i="85"/>
  <c r="AM149" i="85"/>
  <c r="AN149" i="85"/>
  <c r="B149" i="85"/>
  <c r="C149" i="85"/>
  <c r="P149" i="85"/>
  <c r="S149" i="85"/>
  <c r="AD150" i="85"/>
  <c r="AH150" i="85"/>
  <c r="G150" i="85"/>
  <c r="AF150" i="85" a="1"/>
  <c r="AF150" i="85"/>
  <c r="AJ150" i="85"/>
  <c r="AL150" i="85"/>
  <c r="AK150" i="85"/>
  <c r="AM150" i="85"/>
  <c r="AN150" i="85"/>
  <c r="B150" i="85"/>
  <c r="C150" i="85"/>
  <c r="P150" i="85"/>
  <c r="S150" i="85"/>
  <c r="AD151" i="85"/>
  <c r="AH151" i="85"/>
  <c r="G151" i="85"/>
  <c r="AF151" i="85" a="1"/>
  <c r="AF151" i="85"/>
  <c r="AJ151" i="85"/>
  <c r="AL151" i="85"/>
  <c r="AK151" i="85"/>
  <c r="AM151" i="85"/>
  <c r="AN151" i="85"/>
  <c r="B151" i="85"/>
  <c r="C151" i="85"/>
  <c r="P151" i="85"/>
  <c r="S151" i="85"/>
  <c r="AD152" i="85"/>
  <c r="AH152" i="85"/>
  <c r="G152" i="85"/>
  <c r="AF152" i="85" a="1"/>
  <c r="AF152" i="85"/>
  <c r="AJ152" i="85"/>
  <c r="AL152" i="85"/>
  <c r="AK152" i="85"/>
  <c r="AM152" i="85"/>
  <c r="AN152" i="85"/>
  <c r="B152" i="85"/>
  <c r="C152" i="85"/>
  <c r="P152" i="85"/>
  <c r="S152" i="85"/>
  <c r="AD153" i="85"/>
  <c r="AH153" i="85"/>
  <c r="G153" i="85"/>
  <c r="AF153" i="85" a="1"/>
  <c r="AF153" i="85"/>
  <c r="AJ153" i="85"/>
  <c r="AL153" i="85"/>
  <c r="AK153" i="85"/>
  <c r="AM153" i="85"/>
  <c r="AN153" i="85"/>
  <c r="B153" i="85"/>
  <c r="C153" i="85"/>
  <c r="P153" i="85"/>
  <c r="S153" i="85"/>
  <c r="AD154" i="85"/>
  <c r="AH154" i="85"/>
  <c r="G154" i="85"/>
  <c r="AF154" i="85" a="1"/>
  <c r="AF154" i="85"/>
  <c r="AJ154" i="85"/>
  <c r="AL154" i="85"/>
  <c r="AK154" i="85"/>
  <c r="AM154" i="85"/>
  <c r="AN154" i="85"/>
  <c r="B154" i="85"/>
  <c r="C154" i="85"/>
  <c r="P154" i="85"/>
  <c r="S154" i="85"/>
  <c r="AD155" i="85"/>
  <c r="AH155" i="85"/>
  <c r="G155" i="85"/>
  <c r="AF155" i="85" a="1"/>
  <c r="AF155" i="85"/>
  <c r="AJ155" i="85"/>
  <c r="AL155" i="85"/>
  <c r="AK155" i="85"/>
  <c r="AM155" i="85"/>
  <c r="AN155" i="85"/>
  <c r="B155" i="85"/>
  <c r="C155" i="85"/>
  <c r="P155" i="85"/>
  <c r="S155" i="85"/>
  <c r="AH156" i="85"/>
  <c r="G156" i="85"/>
  <c r="AF156" i="85" a="1"/>
  <c r="AF156" i="85"/>
  <c r="AJ156" i="85"/>
  <c r="AL156" i="85"/>
  <c r="AK156" i="85"/>
  <c r="AM156" i="85"/>
  <c r="AN156" i="85"/>
  <c r="B156" i="85"/>
  <c r="C156" i="85"/>
  <c r="P156" i="85"/>
  <c r="S156" i="85"/>
  <c r="AH157" i="85"/>
  <c r="G157" i="85"/>
  <c r="AF157" i="85" a="1"/>
  <c r="AF157" i="85"/>
  <c r="AJ157" i="85"/>
  <c r="AL157" i="85"/>
  <c r="AK157" i="85"/>
  <c r="AM157" i="85"/>
  <c r="AN157" i="85"/>
  <c r="B157" i="85"/>
  <c r="C157" i="85"/>
  <c r="P157" i="85"/>
  <c r="S157" i="85"/>
  <c r="AH158" i="85"/>
  <c r="G158" i="85"/>
  <c r="AF158" i="85" a="1"/>
  <c r="AF158" i="85"/>
  <c r="AJ158" i="85"/>
  <c r="AL158" i="85"/>
  <c r="AK158" i="85"/>
  <c r="AM158" i="85"/>
  <c r="AN158" i="85"/>
  <c r="B158" i="85"/>
  <c r="C158" i="85"/>
  <c r="P158" i="85"/>
  <c r="S158" i="85"/>
  <c r="AH159" i="85"/>
  <c r="G159" i="85"/>
  <c r="AF159" i="85" a="1"/>
  <c r="AF159" i="85"/>
  <c r="AJ159" i="85"/>
  <c r="AL159" i="85"/>
  <c r="AK159" i="85"/>
  <c r="AM159" i="85"/>
  <c r="AN159" i="85"/>
  <c r="B159" i="85"/>
  <c r="C159" i="85"/>
  <c r="P159" i="85"/>
  <c r="S159" i="85"/>
  <c r="AH160" i="85"/>
  <c r="G160" i="85"/>
  <c r="AF160" i="85" a="1"/>
  <c r="AF160" i="85"/>
  <c r="AJ160" i="85"/>
  <c r="AL160" i="85"/>
  <c r="AK160" i="85"/>
  <c r="AM160" i="85"/>
  <c r="AN160" i="85"/>
  <c r="B160" i="85"/>
  <c r="C160" i="85"/>
  <c r="P160" i="85"/>
  <c r="S160" i="85"/>
  <c r="AH161" i="85"/>
  <c r="G161" i="85"/>
  <c r="AF161" i="85" a="1"/>
  <c r="AF161" i="85"/>
  <c r="AJ161" i="85"/>
  <c r="AL161" i="85"/>
  <c r="AK161" i="85"/>
  <c r="AM161" i="85"/>
  <c r="AN161" i="85"/>
  <c r="B161" i="85"/>
  <c r="C161" i="85"/>
  <c r="P161" i="85"/>
  <c r="S161" i="85"/>
  <c r="AH162" i="85"/>
  <c r="G162" i="85"/>
  <c r="AF162" i="85" a="1"/>
  <c r="AF162" i="85"/>
  <c r="AJ162" i="85"/>
  <c r="AL162" i="85"/>
  <c r="AK162" i="85"/>
  <c r="AM162" i="85"/>
  <c r="AN162" i="85"/>
  <c r="B162" i="85"/>
  <c r="C162" i="85"/>
  <c r="P162" i="85"/>
  <c r="S162" i="85"/>
  <c r="AH163" i="85"/>
  <c r="G163" i="85"/>
  <c r="AF163" i="85" a="1"/>
  <c r="AF163" i="85"/>
  <c r="AJ163" i="85"/>
  <c r="AL163" i="85"/>
  <c r="AK163" i="85"/>
  <c r="AM163" i="85"/>
  <c r="AN163" i="85"/>
  <c r="B163" i="85"/>
  <c r="C163" i="85"/>
  <c r="P163" i="85"/>
  <c r="S163" i="85"/>
  <c r="AH164" i="85"/>
  <c r="G164" i="85"/>
  <c r="AF164" i="85" a="1"/>
  <c r="AF164" i="85"/>
  <c r="AJ164" i="85"/>
  <c r="AL164" i="85"/>
  <c r="AK164" i="85"/>
  <c r="AM164" i="85"/>
  <c r="AN164" i="85"/>
  <c r="B164" i="85"/>
  <c r="C164" i="85"/>
  <c r="P164" i="85"/>
  <c r="S164" i="85"/>
  <c r="AD165" i="85"/>
  <c r="AH165" i="85"/>
  <c r="G165" i="85"/>
  <c r="AF165" i="85" a="1"/>
  <c r="AF165" i="85"/>
  <c r="AJ165" i="85"/>
  <c r="AL165" i="85"/>
  <c r="AK165" i="85"/>
  <c r="AM165" i="85"/>
  <c r="AN165" i="85"/>
  <c r="B165" i="85"/>
  <c r="C165" i="85"/>
  <c r="P165" i="85"/>
  <c r="S165" i="85"/>
  <c r="AD166" i="85"/>
  <c r="AH166" i="85"/>
  <c r="G166" i="85"/>
  <c r="AF166" i="85" a="1"/>
  <c r="AF166" i="85"/>
  <c r="AJ166" i="85"/>
  <c r="AL166" i="85"/>
  <c r="AK166" i="85"/>
  <c r="AM166" i="85"/>
  <c r="AN166" i="85"/>
  <c r="B166" i="85"/>
  <c r="C166" i="85"/>
  <c r="P166" i="85"/>
  <c r="S166" i="85"/>
  <c r="AD167" i="85"/>
  <c r="AH167" i="85"/>
  <c r="G167" i="85"/>
  <c r="AF167" i="85" a="1"/>
  <c r="AF167" i="85"/>
  <c r="AJ167" i="85"/>
  <c r="AL167" i="85"/>
  <c r="AK167" i="85"/>
  <c r="AM167" i="85"/>
  <c r="AN167" i="85"/>
  <c r="B167" i="85"/>
  <c r="C167" i="85"/>
  <c r="P167" i="85"/>
  <c r="S167" i="85"/>
  <c r="AD168" i="85"/>
  <c r="AH168" i="85"/>
  <c r="G168" i="85"/>
  <c r="AF168" i="85" a="1"/>
  <c r="AF168" i="85"/>
  <c r="AJ168" i="85"/>
  <c r="AL168" i="85"/>
  <c r="AK168" i="85"/>
  <c r="AM168" i="85"/>
  <c r="AN168" i="85"/>
  <c r="B168" i="85"/>
  <c r="C168" i="85"/>
  <c r="P168" i="85"/>
  <c r="S168" i="85"/>
  <c r="AD169" i="85"/>
  <c r="AH169" i="85"/>
  <c r="G169" i="85"/>
  <c r="AF169" i="85" a="1"/>
  <c r="AF169" i="85"/>
  <c r="AJ169" i="85"/>
  <c r="AL169" i="85"/>
  <c r="AK169" i="85"/>
  <c r="AM169" i="85"/>
  <c r="AN169" i="85"/>
  <c r="B169" i="85"/>
  <c r="C169" i="85"/>
  <c r="P169" i="85"/>
  <c r="S169" i="85"/>
  <c r="AD170" i="85"/>
  <c r="AH170" i="85"/>
  <c r="G170" i="85"/>
  <c r="AF170" i="85" a="1"/>
  <c r="AF170" i="85"/>
  <c r="AJ170" i="85"/>
  <c r="AL170" i="85"/>
  <c r="AK170" i="85"/>
  <c r="AM170" i="85"/>
  <c r="AN170" i="85"/>
  <c r="B170" i="85"/>
  <c r="C170" i="85"/>
  <c r="P170" i="85"/>
  <c r="S170" i="85"/>
  <c r="AD171" i="85"/>
  <c r="AH171" i="85"/>
  <c r="G171" i="85"/>
  <c r="AF171" i="85" a="1"/>
  <c r="AF171" i="85"/>
  <c r="AJ171" i="85"/>
  <c r="AL171" i="85"/>
  <c r="AK171" i="85"/>
  <c r="AM171" i="85"/>
  <c r="AN171" i="85"/>
  <c r="B171" i="85"/>
  <c r="C171" i="85"/>
  <c r="P171" i="85"/>
  <c r="S171" i="85"/>
  <c r="AD172" i="85"/>
  <c r="AH172" i="85"/>
  <c r="G172" i="85"/>
  <c r="AF172" i="85" a="1"/>
  <c r="AF172" i="85"/>
  <c r="AJ172" i="85"/>
  <c r="AL172" i="85"/>
  <c r="AK172" i="85"/>
  <c r="AM172" i="85"/>
  <c r="AN172" i="85"/>
  <c r="B172" i="85"/>
  <c r="C172" i="85"/>
  <c r="P172" i="85"/>
  <c r="S172" i="85"/>
  <c r="AD173" i="85"/>
  <c r="AH173" i="85"/>
  <c r="G173" i="85"/>
  <c r="AF173" i="85" a="1"/>
  <c r="AF173" i="85"/>
  <c r="AJ173" i="85"/>
  <c r="AL173" i="85"/>
  <c r="AK173" i="85"/>
  <c r="AM173" i="85"/>
  <c r="AN173" i="85"/>
  <c r="B173" i="85"/>
  <c r="C173" i="85"/>
  <c r="P173" i="85"/>
  <c r="S173" i="85"/>
  <c r="AD174" i="85"/>
  <c r="AH174" i="85"/>
  <c r="G174" i="85"/>
  <c r="AF174" i="85" a="1"/>
  <c r="AF174" i="85"/>
  <c r="AJ174" i="85"/>
  <c r="AL174" i="85"/>
  <c r="AK174" i="85"/>
  <c r="AM174" i="85"/>
  <c r="AN174" i="85"/>
  <c r="B174" i="85"/>
  <c r="C174" i="85"/>
  <c r="P174" i="85"/>
  <c r="S174" i="85"/>
  <c r="AH175" i="85"/>
  <c r="G175" i="85"/>
  <c r="AF175" i="85" a="1"/>
  <c r="AF175" i="85"/>
  <c r="AJ175" i="85"/>
  <c r="AL175" i="85"/>
  <c r="AK175" i="85"/>
  <c r="AM175" i="85"/>
  <c r="AN175" i="85"/>
  <c r="B175" i="85"/>
  <c r="C175" i="85"/>
  <c r="P175" i="85"/>
  <c r="S175" i="85"/>
  <c r="AH176" i="85"/>
  <c r="G176" i="85"/>
  <c r="AF176" i="85" a="1"/>
  <c r="AF176" i="85"/>
  <c r="AJ176" i="85"/>
  <c r="AL176" i="85"/>
  <c r="AK176" i="85"/>
  <c r="AM176" i="85"/>
  <c r="AN176" i="85"/>
  <c r="B176" i="85"/>
  <c r="C176" i="85"/>
  <c r="P176" i="85"/>
  <c r="S176" i="85"/>
  <c r="AH177" i="85"/>
  <c r="G177" i="85"/>
  <c r="AF177" i="85" a="1"/>
  <c r="AF177" i="85"/>
  <c r="AJ177" i="85"/>
  <c r="AL177" i="85"/>
  <c r="AK177" i="85"/>
  <c r="AM177" i="85"/>
  <c r="AN177" i="85"/>
  <c r="B177" i="85"/>
  <c r="C177" i="85"/>
  <c r="P177" i="85"/>
  <c r="S177" i="85"/>
  <c r="AH178" i="85"/>
  <c r="G178" i="85"/>
  <c r="AF178" i="85" a="1"/>
  <c r="AF178" i="85"/>
  <c r="AJ178" i="85"/>
  <c r="AL178" i="85"/>
  <c r="AK178" i="85"/>
  <c r="AM178" i="85"/>
  <c r="AN178" i="85"/>
  <c r="B178" i="85"/>
  <c r="C178" i="85"/>
  <c r="P178" i="85"/>
  <c r="S178" i="85"/>
  <c r="AH179" i="85"/>
  <c r="G179" i="85"/>
  <c r="AF179" i="85" a="1"/>
  <c r="AF179" i="85"/>
  <c r="AJ179" i="85"/>
  <c r="AL179" i="85"/>
  <c r="AK179" i="85"/>
  <c r="AM179" i="85"/>
  <c r="AN179" i="85"/>
  <c r="B179" i="85"/>
  <c r="C179" i="85"/>
  <c r="P179" i="85"/>
  <c r="S179" i="85"/>
  <c r="AH180" i="85"/>
  <c r="G180" i="85"/>
  <c r="AF180" i="85" a="1"/>
  <c r="AF180" i="85"/>
  <c r="AJ180" i="85"/>
  <c r="AL180" i="85"/>
  <c r="AK180" i="85"/>
  <c r="AM180" i="85"/>
  <c r="AN180" i="85"/>
  <c r="B180" i="85"/>
  <c r="C180" i="85"/>
  <c r="P180" i="85"/>
  <c r="S180" i="85"/>
  <c r="AD181" i="85"/>
  <c r="AH181" i="85"/>
  <c r="G181" i="85"/>
  <c r="AF181" i="85" a="1"/>
  <c r="AF181" i="85"/>
  <c r="AJ181" i="85"/>
  <c r="AL181" i="85"/>
  <c r="AK181" i="85"/>
  <c r="AM181" i="85"/>
  <c r="AN181" i="85"/>
  <c r="B181" i="85"/>
  <c r="C181" i="85"/>
  <c r="P181" i="85"/>
  <c r="S181" i="85"/>
  <c r="AD182" i="85"/>
  <c r="AH182" i="85"/>
  <c r="G182" i="85"/>
  <c r="AF182" i="85" a="1"/>
  <c r="AF182" i="85"/>
  <c r="AJ182" i="85"/>
  <c r="AL182" i="85"/>
  <c r="AK182" i="85"/>
  <c r="AM182" i="85"/>
  <c r="AN182" i="85"/>
  <c r="B182" i="85"/>
  <c r="C182" i="85"/>
  <c r="P182" i="85"/>
  <c r="S182" i="85"/>
  <c r="AD183" i="85"/>
  <c r="AH183" i="85"/>
  <c r="G183" i="85"/>
  <c r="AF183" i="85" a="1"/>
  <c r="AF183" i="85"/>
  <c r="AJ183" i="85"/>
  <c r="AL183" i="85"/>
  <c r="AK183" i="85"/>
  <c r="AM183" i="85"/>
  <c r="AN183" i="85"/>
  <c r="B183" i="85"/>
  <c r="C183" i="85"/>
  <c r="P183" i="85"/>
  <c r="S183" i="85"/>
  <c r="AD184" i="85"/>
  <c r="AH184" i="85"/>
  <c r="G184" i="85"/>
  <c r="AF184" i="85" a="1"/>
  <c r="AF184" i="85"/>
  <c r="AJ184" i="85"/>
  <c r="AL184" i="85"/>
  <c r="AK184" i="85"/>
  <c r="AM184" i="85"/>
  <c r="AN184" i="85"/>
  <c r="B184" i="85"/>
  <c r="C184" i="85"/>
  <c r="P184" i="85"/>
  <c r="S184" i="85"/>
  <c r="AD185" i="85"/>
  <c r="AH185" i="85"/>
  <c r="G185" i="85"/>
  <c r="AF185" i="85" a="1"/>
  <c r="AF185" i="85"/>
  <c r="AJ185" i="85"/>
  <c r="AL185" i="85"/>
  <c r="AK185" i="85"/>
  <c r="AM185" i="85"/>
  <c r="AN185" i="85"/>
  <c r="B185" i="85"/>
  <c r="C185" i="85"/>
  <c r="P185" i="85"/>
  <c r="S185" i="85"/>
  <c r="AH186" i="85"/>
  <c r="G186" i="85"/>
  <c r="AF186" i="85" a="1"/>
  <c r="AF186" i="85"/>
  <c r="AJ186" i="85"/>
  <c r="AL186" i="85"/>
  <c r="AK186" i="85"/>
  <c r="AM186" i="85"/>
  <c r="AN186" i="85"/>
  <c r="B186" i="85"/>
  <c r="C186" i="85"/>
  <c r="P186" i="85"/>
  <c r="S186" i="85"/>
  <c r="AH187" i="85"/>
  <c r="G187" i="85"/>
  <c r="AF187" i="85" a="1"/>
  <c r="AF187" i="85"/>
  <c r="AJ187" i="85"/>
  <c r="AL187" i="85"/>
  <c r="AK187" i="85"/>
  <c r="AM187" i="85"/>
  <c r="AN187" i="85"/>
  <c r="B187" i="85"/>
  <c r="C187" i="85"/>
  <c r="P187" i="85"/>
  <c r="S187" i="85"/>
  <c r="AH188" i="85"/>
  <c r="G188" i="85"/>
  <c r="AF188" i="85" a="1"/>
  <c r="AF188" i="85"/>
  <c r="AJ188" i="85"/>
  <c r="AL188" i="85"/>
  <c r="AK188" i="85"/>
  <c r="AM188" i="85"/>
  <c r="AN188" i="85"/>
  <c r="B188" i="85"/>
  <c r="C188" i="85"/>
  <c r="P188" i="85"/>
  <c r="S188" i="85"/>
  <c r="AH189" i="85"/>
  <c r="G189" i="85"/>
  <c r="AF189" i="85" a="1"/>
  <c r="AF189" i="85"/>
  <c r="AJ189" i="85"/>
  <c r="AL189" i="85"/>
  <c r="AK189" i="85"/>
  <c r="AM189" i="85"/>
  <c r="AN189" i="85"/>
  <c r="B189" i="85"/>
  <c r="C189" i="85"/>
  <c r="P189" i="85"/>
  <c r="S189" i="85"/>
  <c r="AH190" i="85"/>
  <c r="G190" i="85"/>
  <c r="AF190" i="85" a="1"/>
  <c r="AF190" i="85"/>
  <c r="AJ190" i="85"/>
  <c r="AL190" i="85"/>
  <c r="AK190" i="85"/>
  <c r="AM190" i="85"/>
  <c r="AN190" i="85"/>
  <c r="B190" i="85"/>
  <c r="C190" i="85"/>
  <c r="P190" i="85"/>
  <c r="S190" i="85"/>
  <c r="AH191" i="85"/>
  <c r="G191" i="85"/>
  <c r="AF191" i="85" a="1"/>
  <c r="AF191" i="85"/>
  <c r="AJ191" i="85"/>
  <c r="AL191" i="85"/>
  <c r="AK191" i="85"/>
  <c r="AM191" i="85"/>
  <c r="AN191" i="85"/>
  <c r="B191" i="85"/>
  <c r="C191" i="85"/>
  <c r="P191" i="85"/>
  <c r="S191" i="85"/>
  <c r="AH192" i="85"/>
  <c r="G192" i="85"/>
  <c r="AF192" i="85" a="1"/>
  <c r="AF192" i="85"/>
  <c r="AJ192" i="85"/>
  <c r="AL192" i="85"/>
  <c r="AK192" i="85"/>
  <c r="AM192" i="85"/>
  <c r="AN192" i="85"/>
  <c r="B192" i="85"/>
  <c r="C192" i="85"/>
  <c r="P192" i="85"/>
  <c r="S192" i="85"/>
  <c r="AH193" i="85"/>
  <c r="G193" i="85"/>
  <c r="AF193" i="85" a="1"/>
  <c r="AF193" i="85"/>
  <c r="AJ193" i="85"/>
  <c r="AL193" i="85"/>
  <c r="AK193" i="85"/>
  <c r="AM193" i="85"/>
  <c r="AN193" i="85"/>
  <c r="B193" i="85"/>
  <c r="C193" i="85"/>
  <c r="P193" i="85"/>
  <c r="S193" i="85"/>
  <c r="AH194" i="85"/>
  <c r="G194" i="85"/>
  <c r="AF194" i="85" a="1"/>
  <c r="AF194" i="85"/>
  <c r="AJ194" i="85"/>
  <c r="AL194" i="85"/>
  <c r="AK194" i="85"/>
  <c r="AM194" i="85"/>
  <c r="AN194" i="85"/>
  <c r="B194" i="85"/>
  <c r="C194" i="85"/>
  <c r="P194" i="85"/>
  <c r="S194" i="85"/>
  <c r="AH195" i="85"/>
  <c r="G195" i="85"/>
  <c r="AF195" i="85" a="1"/>
  <c r="AF195" i="85"/>
  <c r="AJ195" i="85"/>
  <c r="AL195" i="85"/>
  <c r="AK195" i="85"/>
  <c r="AM195" i="85"/>
  <c r="AN195" i="85"/>
  <c r="B195" i="85"/>
  <c r="C195" i="85"/>
  <c r="P195" i="85"/>
  <c r="S195" i="85"/>
  <c r="AH196" i="85"/>
  <c r="G196" i="85"/>
  <c r="AF196" i="85" a="1"/>
  <c r="AF196" i="85"/>
  <c r="AJ196" i="85"/>
  <c r="AL196" i="85"/>
  <c r="AK196" i="85"/>
  <c r="AM196" i="85"/>
  <c r="AN196" i="85"/>
  <c r="B196" i="85"/>
  <c r="C196" i="85"/>
  <c r="P196" i="85"/>
  <c r="S196" i="85"/>
  <c r="AH197" i="85"/>
  <c r="G197" i="85"/>
  <c r="AF197" i="85" a="1"/>
  <c r="AF197" i="85"/>
  <c r="AJ197" i="85"/>
  <c r="AL197" i="85"/>
  <c r="AK197" i="85"/>
  <c r="AM197" i="85"/>
  <c r="AN197" i="85"/>
  <c r="B197" i="85"/>
  <c r="C197" i="85"/>
  <c r="P197" i="85"/>
  <c r="S197" i="85"/>
  <c r="AH198" i="85"/>
  <c r="G198" i="85"/>
  <c r="AF198" i="85" a="1"/>
  <c r="AF198" i="85"/>
  <c r="AJ198" i="85"/>
  <c r="AL198" i="85"/>
  <c r="AK198" i="85"/>
  <c r="AM198" i="85"/>
  <c r="AN198" i="85"/>
  <c r="B198" i="85"/>
  <c r="C198" i="85"/>
  <c r="P198" i="85"/>
  <c r="S198" i="85"/>
  <c r="AH199" i="85"/>
  <c r="G199" i="85"/>
  <c r="AF199" i="85" a="1"/>
  <c r="AF199" i="85"/>
  <c r="AJ199" i="85"/>
  <c r="AL199" i="85"/>
  <c r="AK199" i="85"/>
  <c r="AM199" i="85"/>
  <c r="AN199" i="85"/>
  <c r="B199" i="85"/>
  <c r="C199" i="85"/>
  <c r="P199" i="85"/>
  <c r="S199" i="85"/>
  <c r="AH200" i="85"/>
  <c r="G200" i="85"/>
  <c r="AF200" i="85" a="1"/>
  <c r="AF200" i="85"/>
  <c r="AJ200" i="85"/>
  <c r="AL200" i="85"/>
  <c r="AK200" i="85"/>
  <c r="AM200" i="85"/>
  <c r="AN200" i="85"/>
  <c r="B200" i="85"/>
  <c r="C200" i="85"/>
  <c r="P200" i="85"/>
  <c r="S200" i="85"/>
  <c r="AH201" i="85"/>
  <c r="G201" i="85"/>
  <c r="AF201" i="85" a="1"/>
  <c r="AF201" i="85"/>
  <c r="AJ201" i="85"/>
  <c r="AL201" i="85"/>
  <c r="AK201" i="85"/>
  <c r="AM201" i="85"/>
  <c r="AN201" i="85"/>
  <c r="B201" i="85"/>
  <c r="C201" i="85"/>
  <c r="P201" i="85"/>
  <c r="S201" i="85"/>
  <c r="AH202" i="85"/>
  <c r="G202" i="85"/>
  <c r="AF202" i="85" a="1"/>
  <c r="AF202" i="85"/>
  <c r="AJ202" i="85"/>
  <c r="AL202" i="85"/>
  <c r="AK202" i="85"/>
  <c r="AM202" i="85"/>
  <c r="AN202" i="85"/>
  <c r="B202" i="85"/>
  <c r="C202" i="85"/>
  <c r="P202" i="85"/>
  <c r="S202" i="85"/>
  <c r="AH203" i="85"/>
  <c r="G203" i="85"/>
  <c r="AF203" i="85" a="1"/>
  <c r="AF203" i="85"/>
  <c r="AJ203" i="85"/>
  <c r="AL203" i="85"/>
  <c r="AK203" i="85"/>
  <c r="AM203" i="85"/>
  <c r="AN203" i="85"/>
  <c r="B203" i="85"/>
  <c r="C203" i="85"/>
  <c r="P203" i="85"/>
  <c r="S203" i="85"/>
  <c r="AD204" i="85"/>
  <c r="AH204" i="85"/>
  <c r="G204" i="85"/>
  <c r="AF204" i="85" a="1"/>
  <c r="AF204" i="85"/>
  <c r="AJ204" i="85"/>
  <c r="AL204" i="85"/>
  <c r="AK204" i="85"/>
  <c r="AM204" i="85"/>
  <c r="AN204" i="85"/>
  <c r="B204" i="85"/>
  <c r="C204" i="85"/>
  <c r="P204" i="85"/>
  <c r="S204" i="85"/>
  <c r="AD205" i="85"/>
  <c r="AH205" i="85"/>
  <c r="G205" i="85"/>
  <c r="AF205" i="85" a="1"/>
  <c r="AF205" i="85"/>
  <c r="AJ205" i="85"/>
  <c r="AL205" i="85"/>
  <c r="AK205" i="85"/>
  <c r="AM205" i="85"/>
  <c r="AN205" i="85"/>
  <c r="B205" i="85"/>
  <c r="C205" i="85"/>
  <c r="P205" i="85"/>
  <c r="S205" i="85"/>
  <c r="AD206" i="85"/>
  <c r="AH206" i="85"/>
  <c r="G206" i="85"/>
  <c r="AF206" i="85" a="1"/>
  <c r="AF206" i="85"/>
  <c r="AJ206" i="85"/>
  <c r="AL206" i="85"/>
  <c r="AK206" i="85"/>
  <c r="AM206" i="85"/>
  <c r="AN206" i="85"/>
  <c r="B206" i="85"/>
  <c r="C206" i="85"/>
  <c r="P206" i="85"/>
  <c r="S206" i="85"/>
  <c r="AD207" i="85"/>
  <c r="AH207" i="85"/>
  <c r="G207" i="85"/>
  <c r="AF207" i="85" a="1"/>
  <c r="AF207" i="85"/>
  <c r="AJ207" i="85"/>
  <c r="AL207" i="85"/>
  <c r="AK207" i="85"/>
  <c r="AM207" i="85"/>
  <c r="AN207" i="85"/>
  <c r="B207" i="85"/>
  <c r="C207" i="85"/>
  <c r="P207" i="85"/>
  <c r="S207" i="85"/>
  <c r="AD208" i="85"/>
  <c r="AH208" i="85"/>
  <c r="G208" i="85"/>
  <c r="AF208" i="85" a="1"/>
  <c r="AF208" i="85"/>
  <c r="AJ208" i="85"/>
  <c r="AL208" i="85"/>
  <c r="AK208" i="85"/>
  <c r="AM208" i="85"/>
  <c r="AN208" i="85"/>
  <c r="B208" i="85"/>
  <c r="C208" i="85"/>
  <c r="P208" i="85"/>
  <c r="S208" i="85"/>
  <c r="AD209" i="85"/>
  <c r="AH209" i="85"/>
  <c r="G209" i="85"/>
  <c r="AF209" i="85" a="1"/>
  <c r="AF209" i="85"/>
  <c r="AJ209" i="85"/>
  <c r="AL209" i="85"/>
  <c r="AK209" i="85"/>
  <c r="AM209" i="85"/>
  <c r="AN209" i="85"/>
  <c r="B209" i="85"/>
  <c r="C209" i="85"/>
  <c r="P209" i="85"/>
  <c r="S209" i="85"/>
  <c r="AH210" i="85"/>
  <c r="G210" i="85"/>
  <c r="AF210" i="85" a="1"/>
  <c r="AF210" i="85"/>
  <c r="AJ210" i="85"/>
  <c r="AL210" i="85"/>
  <c r="AK210" i="85"/>
  <c r="AM210" i="85"/>
  <c r="AN210" i="85"/>
  <c r="B210" i="85"/>
  <c r="C210" i="85"/>
  <c r="P210" i="85"/>
  <c r="S210" i="85"/>
  <c r="AH211" i="85"/>
  <c r="G211" i="85"/>
  <c r="AF211" i="85" a="1"/>
  <c r="AF211" i="85"/>
  <c r="AJ211" i="85"/>
  <c r="AL211" i="85"/>
  <c r="AK211" i="85"/>
  <c r="AM211" i="85"/>
  <c r="AN211" i="85"/>
  <c r="B211" i="85"/>
  <c r="C211" i="85"/>
  <c r="P211" i="85"/>
  <c r="S211" i="85"/>
  <c r="AH212" i="85"/>
  <c r="G212" i="85"/>
  <c r="AF212" i="85" a="1"/>
  <c r="AF212" i="85"/>
  <c r="AJ212" i="85"/>
  <c r="AL212" i="85"/>
  <c r="AK212" i="85"/>
  <c r="AM212" i="85"/>
  <c r="AN212" i="85"/>
  <c r="B212" i="85"/>
  <c r="C212" i="85"/>
  <c r="P212" i="85"/>
  <c r="S212" i="85"/>
  <c r="AH213" i="85"/>
  <c r="G213" i="85"/>
  <c r="AF213" i="85" a="1"/>
  <c r="AF213" i="85"/>
  <c r="AJ213" i="85"/>
  <c r="AL213" i="85"/>
  <c r="AK213" i="85"/>
  <c r="AM213" i="85"/>
  <c r="AN213" i="85"/>
  <c r="B213" i="85"/>
  <c r="C213" i="85"/>
  <c r="P213" i="85"/>
  <c r="S213" i="85"/>
  <c r="AH214" i="85"/>
  <c r="G214" i="85"/>
  <c r="AF214" i="85" a="1"/>
  <c r="AF214" i="85"/>
  <c r="AJ214" i="85"/>
  <c r="AL214" i="85"/>
  <c r="AK214" i="85"/>
  <c r="AM214" i="85"/>
  <c r="AN214" i="85"/>
  <c r="B214" i="85"/>
  <c r="C214" i="85"/>
  <c r="P214" i="85"/>
  <c r="S214" i="85"/>
  <c r="AH215" i="85"/>
  <c r="G215" i="85"/>
  <c r="AF215" i="85" a="1"/>
  <c r="AF215" i="85"/>
  <c r="AJ215" i="85"/>
  <c r="AL215" i="85"/>
  <c r="AK215" i="85"/>
  <c r="AM215" i="85"/>
  <c r="AN215" i="85"/>
  <c r="B215" i="85"/>
  <c r="C215" i="85"/>
  <c r="P215" i="85"/>
  <c r="S215" i="85"/>
  <c r="AH216" i="85"/>
  <c r="G216" i="85"/>
  <c r="AF216" i="85" a="1"/>
  <c r="AF216" i="85"/>
  <c r="AJ216" i="85"/>
  <c r="AL216" i="85"/>
  <c r="AK216" i="85"/>
  <c r="AM216" i="85"/>
  <c r="AN216" i="85"/>
  <c r="B216" i="85"/>
  <c r="C216" i="85"/>
  <c r="P216" i="85"/>
  <c r="S216" i="85"/>
  <c r="AH217" i="85"/>
  <c r="G217" i="85"/>
  <c r="AF217" i="85" a="1"/>
  <c r="AF217" i="85"/>
  <c r="AJ217" i="85"/>
  <c r="AL217" i="85"/>
  <c r="AK217" i="85"/>
  <c r="AM217" i="85"/>
  <c r="AN217" i="85"/>
  <c r="B217" i="85"/>
  <c r="C217" i="85"/>
  <c r="P217" i="85"/>
  <c r="S217" i="85"/>
  <c r="AH218" i="85"/>
  <c r="G218" i="85"/>
  <c r="AF218" i="85" a="1"/>
  <c r="AF218" i="85"/>
  <c r="AJ218" i="85"/>
  <c r="AL218" i="85"/>
  <c r="AK218" i="85"/>
  <c r="AM218" i="85"/>
  <c r="AN218" i="85"/>
  <c r="B218" i="85"/>
  <c r="C218" i="85"/>
  <c r="P218" i="85"/>
  <c r="S218" i="85"/>
  <c r="AH219" i="85"/>
  <c r="G219" i="85"/>
  <c r="AF219" i="85" a="1"/>
  <c r="AF219" i="85"/>
  <c r="AJ219" i="85"/>
  <c r="AL219" i="85"/>
  <c r="AK219" i="85"/>
  <c r="AM219" i="85"/>
  <c r="AN219" i="85"/>
  <c r="B219" i="85"/>
  <c r="C219" i="85"/>
  <c r="P219" i="85"/>
  <c r="S219" i="85"/>
  <c r="AH220" i="85"/>
  <c r="G220" i="85"/>
  <c r="AF220" i="85" a="1"/>
  <c r="AF220" i="85"/>
  <c r="AJ220" i="85"/>
  <c r="AL220" i="85"/>
  <c r="AK220" i="85"/>
  <c r="AM220" i="85"/>
  <c r="AN220" i="85"/>
  <c r="B220" i="85"/>
  <c r="C220" i="85"/>
  <c r="P220" i="85"/>
  <c r="S220" i="85"/>
  <c r="AH221" i="85"/>
  <c r="G221" i="85"/>
  <c r="AF221" i="85" a="1"/>
  <c r="AF221" i="85"/>
  <c r="AJ221" i="85"/>
  <c r="AL221" i="85"/>
  <c r="AK221" i="85"/>
  <c r="AM221" i="85"/>
  <c r="AN221" i="85"/>
  <c r="B221" i="85"/>
  <c r="C221" i="85"/>
  <c r="P221" i="85"/>
  <c r="S221" i="85"/>
  <c r="AH222" i="85"/>
  <c r="G222" i="85"/>
  <c r="AF222" i="85" a="1"/>
  <c r="AF222" i="85"/>
  <c r="AJ222" i="85"/>
  <c r="AL222" i="85"/>
  <c r="AK222" i="85"/>
  <c r="AM222" i="85"/>
  <c r="AN222" i="85"/>
  <c r="B222" i="85"/>
  <c r="C222" i="85"/>
  <c r="P222" i="85"/>
  <c r="S222" i="85"/>
  <c r="AH223" i="85"/>
  <c r="G223" i="85"/>
  <c r="AF223" i="85" a="1"/>
  <c r="AF223" i="85"/>
  <c r="AJ223" i="85"/>
  <c r="AL223" i="85"/>
  <c r="AK223" i="85"/>
  <c r="AM223" i="85"/>
  <c r="AN223" i="85"/>
  <c r="B223" i="85"/>
  <c r="C223" i="85"/>
  <c r="P223" i="85"/>
  <c r="S223" i="85"/>
  <c r="AD224" i="85"/>
  <c r="AH224" i="85"/>
  <c r="G224" i="85"/>
  <c r="AF224" i="85" a="1"/>
  <c r="AF224" i="85"/>
  <c r="AJ224" i="85"/>
  <c r="AL224" i="85"/>
  <c r="AK224" i="85"/>
  <c r="AM224" i="85"/>
  <c r="AN224" i="85"/>
  <c r="B224" i="85"/>
  <c r="C224" i="85"/>
  <c r="P224" i="85"/>
  <c r="S224" i="85"/>
  <c r="AD225" i="85"/>
  <c r="AH225" i="85"/>
  <c r="G225" i="85"/>
  <c r="AF225" i="85" a="1"/>
  <c r="AF225" i="85"/>
  <c r="AJ225" i="85"/>
  <c r="AL225" i="85"/>
  <c r="AK225" i="85"/>
  <c r="AM225" i="85"/>
  <c r="AN225" i="85"/>
  <c r="B225" i="85"/>
  <c r="C225" i="85"/>
  <c r="P225" i="85"/>
  <c r="S225" i="85"/>
  <c r="AD226" i="85"/>
  <c r="AH226" i="85"/>
  <c r="G226" i="85"/>
  <c r="AF226" i="85" a="1"/>
  <c r="AF226" i="85"/>
  <c r="AJ226" i="85"/>
  <c r="AL226" i="85"/>
  <c r="AK226" i="85"/>
  <c r="AM226" i="85"/>
  <c r="AN226" i="85"/>
  <c r="B226" i="85"/>
  <c r="C226" i="85"/>
  <c r="P226" i="85"/>
  <c r="S226" i="85"/>
  <c r="AH227" i="85"/>
  <c r="G227" i="85"/>
  <c r="AF227" i="85" a="1"/>
  <c r="AF227" i="85"/>
  <c r="AJ227" i="85"/>
  <c r="AL227" i="85"/>
  <c r="AK227" i="85"/>
  <c r="AM227" i="85"/>
  <c r="AN227" i="85"/>
  <c r="B227" i="85"/>
  <c r="C227" i="85"/>
  <c r="P227" i="85"/>
  <c r="S227" i="85"/>
  <c r="AH228" i="85"/>
  <c r="G228" i="85"/>
  <c r="AF228" i="85" a="1"/>
  <c r="AF228" i="85"/>
  <c r="AJ228" i="85"/>
  <c r="AL228" i="85"/>
  <c r="AK228" i="85"/>
  <c r="AM228" i="85"/>
  <c r="AN228" i="85"/>
  <c r="B228" i="85"/>
  <c r="C228" i="85"/>
  <c r="P228" i="85"/>
  <c r="S228" i="85"/>
  <c r="AH229" i="85"/>
  <c r="G229" i="85"/>
  <c r="AF229" i="85" a="1"/>
  <c r="AF229" i="85"/>
  <c r="AJ229" i="85"/>
  <c r="AL229" i="85"/>
  <c r="AK229" i="85"/>
  <c r="AM229" i="85"/>
  <c r="AN229" i="85"/>
  <c r="B229" i="85"/>
  <c r="C229" i="85"/>
  <c r="P229" i="85"/>
  <c r="S229" i="85"/>
  <c r="AH230" i="85"/>
  <c r="G230" i="85"/>
  <c r="AF230" i="85" a="1"/>
  <c r="AF230" i="85"/>
  <c r="AJ230" i="85"/>
  <c r="AL230" i="85"/>
  <c r="AK230" i="85"/>
  <c r="AM230" i="85"/>
  <c r="AN230" i="85"/>
  <c r="B230" i="85"/>
  <c r="C230" i="85"/>
  <c r="P230" i="85"/>
  <c r="S230" i="85"/>
  <c r="AH231" i="85"/>
  <c r="G231" i="85"/>
  <c r="AF231" i="85" a="1"/>
  <c r="AF231" i="85"/>
  <c r="AJ231" i="85"/>
  <c r="AL231" i="85"/>
  <c r="AK231" i="85"/>
  <c r="AM231" i="85"/>
  <c r="AN231" i="85"/>
  <c r="B231" i="85"/>
  <c r="C231" i="85"/>
  <c r="P231" i="85"/>
  <c r="S231" i="85"/>
  <c r="AH232" i="85"/>
  <c r="G232" i="85"/>
  <c r="AF232" i="85" a="1"/>
  <c r="AF232" i="85"/>
  <c r="AJ232" i="85"/>
  <c r="AL232" i="85"/>
  <c r="AK232" i="85"/>
  <c r="AM232" i="85"/>
  <c r="AN232" i="85"/>
  <c r="B232" i="85"/>
  <c r="C232" i="85"/>
  <c r="P232" i="85"/>
  <c r="S232" i="85"/>
  <c r="AH233" i="85"/>
  <c r="G233" i="85"/>
  <c r="AF233" i="85" a="1"/>
  <c r="AF233" i="85"/>
  <c r="AJ233" i="85"/>
  <c r="AL233" i="85"/>
  <c r="AK233" i="85"/>
  <c r="AM233" i="85"/>
  <c r="AN233" i="85"/>
  <c r="B233" i="85"/>
  <c r="C233" i="85"/>
  <c r="P233" i="85"/>
  <c r="S233" i="85"/>
  <c r="AH234" i="85"/>
  <c r="G234" i="85"/>
  <c r="AF234" i="85" a="1"/>
  <c r="AF234" i="85"/>
  <c r="AJ234" i="85"/>
  <c r="AL234" i="85"/>
  <c r="AK234" i="85"/>
  <c r="AM234" i="85"/>
  <c r="AN234" i="85"/>
  <c r="B234" i="85"/>
  <c r="C234" i="85"/>
  <c r="P234" i="85"/>
  <c r="S234" i="85"/>
  <c r="AH235" i="85"/>
  <c r="G235" i="85"/>
  <c r="AF235" i="85" a="1"/>
  <c r="AF235" i="85"/>
  <c r="AJ235" i="85"/>
  <c r="AL235" i="85"/>
  <c r="AK235" i="85"/>
  <c r="AM235" i="85"/>
  <c r="AN235" i="85"/>
  <c r="B235" i="85"/>
  <c r="C235" i="85"/>
  <c r="P235" i="85"/>
  <c r="S235" i="85"/>
  <c r="AH236" i="85"/>
  <c r="G236" i="85"/>
  <c r="AF236" i="85" a="1"/>
  <c r="AF236" i="85"/>
  <c r="AJ236" i="85"/>
  <c r="AL236" i="85"/>
  <c r="AK236" i="85"/>
  <c r="AM236" i="85"/>
  <c r="AN236" i="85"/>
  <c r="B236" i="85"/>
  <c r="C236" i="85"/>
  <c r="P236" i="85"/>
  <c r="S236" i="85"/>
  <c r="AH237" i="85"/>
  <c r="G237" i="85"/>
  <c r="AF237" i="85" a="1"/>
  <c r="AF237" i="85"/>
  <c r="AJ237" i="85"/>
  <c r="AL237" i="85"/>
  <c r="AK237" i="85"/>
  <c r="AM237" i="85"/>
  <c r="AN237" i="85"/>
  <c r="B237" i="85"/>
  <c r="C237" i="85"/>
  <c r="P237" i="85"/>
  <c r="S237" i="85"/>
  <c r="AD238" i="85"/>
  <c r="AH238" i="85"/>
  <c r="G238" i="85"/>
  <c r="AF238" i="85" a="1"/>
  <c r="AF238" i="85"/>
  <c r="AJ238" i="85"/>
  <c r="AL238" i="85"/>
  <c r="AK238" i="85"/>
  <c r="AM238" i="85"/>
  <c r="AN238" i="85"/>
  <c r="B238" i="85"/>
  <c r="C238" i="85"/>
  <c r="P238" i="85"/>
  <c r="S238" i="85"/>
  <c r="AD239" i="85"/>
  <c r="AH239" i="85"/>
  <c r="G239" i="85"/>
  <c r="AF239" i="85" a="1"/>
  <c r="AF239" i="85"/>
  <c r="AJ239" i="85"/>
  <c r="AL239" i="85"/>
  <c r="AK239" i="85"/>
  <c r="AM239" i="85"/>
  <c r="AN239" i="85"/>
  <c r="B239" i="85"/>
  <c r="C239" i="85"/>
  <c r="P239" i="85"/>
  <c r="S239" i="85"/>
  <c r="AD240" i="85"/>
  <c r="AH240" i="85"/>
  <c r="G240" i="85"/>
  <c r="AF240" i="85" a="1"/>
  <c r="AF240" i="85"/>
  <c r="AJ240" i="85"/>
  <c r="AL240" i="85"/>
  <c r="AK240" i="85"/>
  <c r="AM240" i="85"/>
  <c r="AN240" i="85"/>
  <c r="B240" i="85"/>
  <c r="C240" i="85"/>
  <c r="P240" i="85"/>
  <c r="S240" i="85"/>
  <c r="AD241" i="85"/>
  <c r="AH241" i="85"/>
  <c r="G241" i="85"/>
  <c r="AF241" i="85" a="1"/>
  <c r="AF241" i="85"/>
  <c r="AJ241" i="85"/>
  <c r="AL241" i="85"/>
  <c r="AK241" i="85"/>
  <c r="AM241" i="85"/>
  <c r="AN241" i="85"/>
  <c r="B241" i="85"/>
  <c r="C241" i="85"/>
  <c r="P241" i="85"/>
  <c r="S241" i="85"/>
  <c r="AD242" i="85"/>
  <c r="AH242" i="85"/>
  <c r="G242" i="85"/>
  <c r="AF242" i="85" a="1"/>
  <c r="AF242" i="85"/>
  <c r="AJ242" i="85"/>
  <c r="AL242" i="85"/>
  <c r="AK242" i="85"/>
  <c r="AM242" i="85"/>
  <c r="AN242" i="85"/>
  <c r="B242" i="85"/>
  <c r="C242" i="85"/>
  <c r="P242" i="85"/>
  <c r="S242" i="85"/>
  <c r="AD243" i="85"/>
  <c r="AH243" i="85"/>
  <c r="G243" i="85"/>
  <c r="AF243" i="85" a="1"/>
  <c r="AF243" i="85"/>
  <c r="AJ243" i="85"/>
  <c r="AL243" i="85"/>
  <c r="AK243" i="85"/>
  <c r="AM243" i="85"/>
  <c r="AN243" i="85"/>
  <c r="B243" i="85"/>
  <c r="C243" i="85"/>
  <c r="P243" i="85"/>
  <c r="S243" i="85"/>
  <c r="AD244" i="85"/>
  <c r="AH244" i="85"/>
  <c r="G244" i="85"/>
  <c r="AF244" i="85" a="1"/>
  <c r="AF244" i="85"/>
  <c r="AJ244" i="85"/>
  <c r="AL244" i="85"/>
  <c r="AK244" i="85"/>
  <c r="AM244" i="85"/>
  <c r="AN244" i="85"/>
  <c r="B244" i="85"/>
  <c r="C244" i="85"/>
  <c r="P244" i="85"/>
  <c r="S244" i="85"/>
  <c r="AD245" i="85"/>
  <c r="AH245" i="85"/>
  <c r="G245" i="85"/>
  <c r="AF245" i="85" a="1"/>
  <c r="AF245" i="85"/>
  <c r="AJ245" i="85"/>
  <c r="AL245" i="85"/>
  <c r="AK245" i="85"/>
  <c r="AM245" i="85"/>
  <c r="AN245" i="85"/>
  <c r="B245" i="85"/>
  <c r="C245" i="85"/>
  <c r="P245" i="85"/>
  <c r="S245" i="85"/>
  <c r="AD246" i="85"/>
  <c r="AH246" i="85"/>
  <c r="G246" i="85"/>
  <c r="AF246" i="85" a="1"/>
  <c r="AF246" i="85"/>
  <c r="AJ246" i="85"/>
  <c r="AL246" i="85"/>
  <c r="AK246" i="85"/>
  <c r="AM246" i="85"/>
  <c r="AN246" i="85"/>
  <c r="B246" i="85"/>
  <c r="C246" i="85"/>
  <c r="P246" i="85"/>
  <c r="S246" i="85"/>
  <c r="AD247" i="85"/>
  <c r="AH247" i="85"/>
  <c r="G247" i="85"/>
  <c r="AF247" i="85" a="1"/>
  <c r="AF247" i="85"/>
  <c r="AJ247" i="85"/>
  <c r="AL247" i="85"/>
  <c r="AK247" i="85"/>
  <c r="AM247" i="85"/>
  <c r="AN247" i="85"/>
  <c r="B247" i="85"/>
  <c r="C247" i="85"/>
  <c r="P247" i="85"/>
  <c r="S247" i="85"/>
  <c r="AD248" i="85"/>
  <c r="AH248" i="85"/>
  <c r="G248" i="85"/>
  <c r="AF248" i="85" a="1"/>
  <c r="AF248" i="85"/>
  <c r="AJ248" i="85"/>
  <c r="AL248" i="85"/>
  <c r="AK248" i="85"/>
  <c r="AM248" i="85"/>
  <c r="AN248" i="85"/>
  <c r="B248" i="85"/>
  <c r="C248" i="85"/>
  <c r="P248" i="85"/>
  <c r="S248" i="85"/>
  <c r="AD249" i="85"/>
  <c r="AH249" i="85"/>
  <c r="G249" i="85"/>
  <c r="AF249" i="85" a="1"/>
  <c r="AF249" i="85"/>
  <c r="AJ249" i="85"/>
  <c r="AL249" i="85"/>
  <c r="AK249" i="85"/>
  <c r="AM249" i="85"/>
  <c r="AN249" i="85"/>
  <c r="B249" i="85"/>
  <c r="C249" i="85"/>
  <c r="P249" i="85"/>
  <c r="S249" i="85"/>
  <c r="AD250" i="85"/>
  <c r="AH250" i="85"/>
  <c r="G250" i="85"/>
  <c r="AF250" i="85" a="1"/>
  <c r="AF250" i="85"/>
  <c r="AJ250" i="85"/>
  <c r="AL250" i="85"/>
  <c r="AK250" i="85"/>
  <c r="AM250" i="85"/>
  <c r="AN250" i="85"/>
  <c r="B250" i="85"/>
  <c r="C250" i="85"/>
  <c r="P250" i="85"/>
  <c r="S250" i="85"/>
  <c r="AD251" i="85"/>
  <c r="AH251" i="85"/>
  <c r="G251" i="85"/>
  <c r="AF251" i="85" a="1"/>
  <c r="AF251" i="85"/>
  <c r="AJ251" i="85"/>
  <c r="AL251" i="85"/>
  <c r="AK251" i="85"/>
  <c r="AM251" i="85"/>
  <c r="AN251" i="85"/>
  <c r="B251" i="85"/>
  <c r="C251" i="85"/>
  <c r="P251" i="85"/>
  <c r="S251" i="85"/>
  <c r="AD252" i="85"/>
  <c r="AH252" i="85"/>
  <c r="G252" i="85"/>
  <c r="AF252" i="85" a="1"/>
  <c r="AF252" i="85"/>
  <c r="AJ252" i="85"/>
  <c r="AL252" i="85"/>
  <c r="AK252" i="85"/>
  <c r="AM252" i="85"/>
  <c r="AN252" i="85"/>
  <c r="B252" i="85"/>
  <c r="C252" i="85"/>
  <c r="P252" i="85"/>
  <c r="S252" i="85"/>
  <c r="AD253" i="85"/>
  <c r="AH253" i="85"/>
  <c r="G253" i="85"/>
  <c r="AF253" i="85" a="1"/>
  <c r="AF253" i="85"/>
  <c r="AJ253" i="85"/>
  <c r="AL253" i="85"/>
  <c r="AK253" i="85"/>
  <c r="AM253" i="85"/>
  <c r="AN253" i="85"/>
  <c r="B253" i="85"/>
  <c r="C253" i="85"/>
  <c r="P253" i="85"/>
  <c r="S253" i="85"/>
  <c r="AD254" i="85"/>
  <c r="AH254" i="85"/>
  <c r="G254" i="85"/>
  <c r="AF254" i="85" a="1"/>
  <c r="AF254" i="85"/>
  <c r="AJ254" i="85"/>
  <c r="AL254" i="85"/>
  <c r="AK254" i="85"/>
  <c r="AM254" i="85"/>
  <c r="AN254" i="85"/>
  <c r="B254" i="85"/>
  <c r="C254" i="85"/>
  <c r="P254" i="85"/>
  <c r="S254" i="85"/>
  <c r="AD255" i="85"/>
  <c r="AH255" i="85"/>
  <c r="G255" i="85"/>
  <c r="AF255" i="85" a="1"/>
  <c r="AF255" i="85"/>
  <c r="AJ255" i="85"/>
  <c r="AL255" i="85"/>
  <c r="AK255" i="85"/>
  <c r="AM255" i="85"/>
  <c r="AN255" i="85"/>
  <c r="B255" i="85"/>
  <c r="C255" i="85"/>
  <c r="P255" i="85"/>
  <c r="S255" i="85"/>
  <c r="AD256" i="85"/>
  <c r="AH256" i="85"/>
  <c r="G256" i="85"/>
  <c r="AF256" i="85" a="1"/>
  <c r="AF256" i="85"/>
  <c r="AJ256" i="85"/>
  <c r="AL256" i="85"/>
  <c r="AK256" i="85"/>
  <c r="AM256" i="85"/>
  <c r="AN256" i="85"/>
  <c r="B256" i="85"/>
  <c r="C256" i="85"/>
  <c r="P256" i="85"/>
  <c r="S256" i="85"/>
  <c r="AD257" i="85"/>
  <c r="AH257" i="85"/>
  <c r="G257" i="85"/>
  <c r="AF257" i="85" a="1"/>
  <c r="AF257" i="85"/>
  <c r="AJ257" i="85"/>
  <c r="AL257" i="85"/>
  <c r="AK257" i="85"/>
  <c r="AM257" i="85"/>
  <c r="AN257" i="85"/>
  <c r="B257" i="85"/>
  <c r="C257" i="85"/>
  <c r="P257" i="85"/>
  <c r="S257" i="85"/>
  <c r="AH258" i="85"/>
  <c r="G258" i="85"/>
  <c r="AF258" i="85" a="1"/>
  <c r="AF258" i="85"/>
  <c r="AJ258" i="85"/>
  <c r="AL258" i="85"/>
  <c r="AK258" i="85"/>
  <c r="AM258" i="85"/>
  <c r="AN258" i="85"/>
  <c r="B258" i="85"/>
  <c r="C258" i="85"/>
  <c r="P258" i="85"/>
  <c r="S258" i="85"/>
  <c r="AH259" i="85"/>
  <c r="G259" i="85"/>
  <c r="AF259" i="85" a="1"/>
  <c r="AF259" i="85"/>
  <c r="AJ259" i="85"/>
  <c r="AL259" i="85"/>
  <c r="AK259" i="85"/>
  <c r="AM259" i="85"/>
  <c r="AN259" i="85"/>
  <c r="B259" i="85"/>
  <c r="C259" i="85"/>
  <c r="P259" i="85"/>
  <c r="S259" i="85"/>
  <c r="AH260" i="85"/>
  <c r="G260" i="85"/>
  <c r="AF260" i="85" a="1"/>
  <c r="AF260" i="85"/>
  <c r="AJ260" i="85"/>
  <c r="AL260" i="85"/>
  <c r="AK260" i="85"/>
  <c r="AM260" i="85"/>
  <c r="AN260" i="85"/>
  <c r="B260" i="85"/>
  <c r="C260" i="85"/>
  <c r="P260" i="85"/>
  <c r="S260" i="85"/>
  <c r="AH261" i="85"/>
  <c r="G261" i="85"/>
  <c r="AF261" i="85" a="1"/>
  <c r="AF261" i="85"/>
  <c r="AJ261" i="85"/>
  <c r="AL261" i="85"/>
  <c r="AK261" i="85"/>
  <c r="AM261" i="85"/>
  <c r="AN261" i="85"/>
  <c r="B261" i="85"/>
  <c r="C261" i="85"/>
  <c r="P261" i="85"/>
  <c r="S261" i="85"/>
  <c r="AH262" i="85"/>
  <c r="G262" i="85"/>
  <c r="AF262" i="85" a="1"/>
  <c r="AF262" i="85"/>
  <c r="AJ262" i="85"/>
  <c r="AL262" i="85"/>
  <c r="AK262" i="85"/>
  <c r="AM262" i="85"/>
  <c r="AN262" i="85"/>
  <c r="B262" i="85"/>
  <c r="C262" i="85"/>
  <c r="P262" i="85"/>
  <c r="S262" i="85"/>
  <c r="AH263" i="85"/>
  <c r="G263" i="85"/>
  <c r="AF263" i="85" a="1"/>
  <c r="AF263" i="85"/>
  <c r="AJ263" i="85"/>
  <c r="AL263" i="85"/>
  <c r="AK263" i="85"/>
  <c r="AM263" i="85"/>
  <c r="AN263" i="85"/>
  <c r="B263" i="85"/>
  <c r="C263" i="85"/>
  <c r="P263" i="85"/>
  <c r="S263" i="85"/>
  <c r="AD264" i="85"/>
  <c r="AH264" i="85"/>
  <c r="G264" i="85"/>
  <c r="AF264" i="85" a="1"/>
  <c r="AF264" i="85"/>
  <c r="AJ264" i="85"/>
  <c r="AL264" i="85"/>
  <c r="AK264" i="85"/>
  <c r="AM264" i="85"/>
  <c r="AN264" i="85"/>
  <c r="B264" i="85"/>
  <c r="C264" i="85"/>
  <c r="P264" i="85"/>
  <c r="S264" i="85"/>
  <c r="AH265" i="85"/>
  <c r="G265" i="85"/>
  <c r="AF265" i="85" a="1"/>
  <c r="AF265" i="85"/>
  <c r="AJ265" i="85"/>
  <c r="AL265" i="85"/>
  <c r="AK265" i="85"/>
  <c r="AM265" i="85"/>
  <c r="AN265" i="85"/>
  <c r="B265" i="85"/>
  <c r="C265" i="85"/>
  <c r="P265" i="85"/>
  <c r="S265" i="85"/>
  <c r="AH266" i="85"/>
  <c r="G266" i="85"/>
  <c r="AF266" i="85" a="1"/>
  <c r="AF266" i="85"/>
  <c r="AJ266" i="85"/>
  <c r="AL266" i="85"/>
  <c r="AK266" i="85"/>
  <c r="AM266" i="85"/>
  <c r="AN266" i="85"/>
  <c r="B266" i="85"/>
  <c r="C266" i="85"/>
  <c r="P266" i="85"/>
  <c r="S266" i="85"/>
  <c r="AH267" i="85"/>
  <c r="G267" i="85"/>
  <c r="AF267" i="85" a="1"/>
  <c r="AF267" i="85"/>
  <c r="AJ267" i="85"/>
  <c r="AL267" i="85"/>
  <c r="AK267" i="85"/>
  <c r="AM267" i="85"/>
  <c r="AN267" i="85"/>
  <c r="B267" i="85"/>
  <c r="C267" i="85"/>
  <c r="P267" i="85"/>
  <c r="S267" i="85"/>
  <c r="AH268" i="85"/>
  <c r="G268" i="85"/>
  <c r="AF268" i="85" a="1"/>
  <c r="AF268" i="85"/>
  <c r="AJ268" i="85"/>
  <c r="AL268" i="85"/>
  <c r="AK268" i="85"/>
  <c r="AM268" i="85"/>
  <c r="AN268" i="85"/>
  <c r="B268" i="85"/>
  <c r="C268" i="85"/>
  <c r="P268" i="85"/>
  <c r="S268" i="85"/>
  <c r="AH269" i="85"/>
  <c r="G269" i="85"/>
  <c r="AF269" i="85" a="1"/>
  <c r="AF269" i="85"/>
  <c r="AJ269" i="85"/>
  <c r="AL269" i="85"/>
  <c r="AK269" i="85"/>
  <c r="AM269" i="85"/>
  <c r="AN269" i="85"/>
  <c r="B269" i="85"/>
  <c r="C269" i="85"/>
  <c r="P269" i="85"/>
  <c r="S269" i="85"/>
  <c r="AH270" i="85"/>
  <c r="G270" i="85"/>
  <c r="AF270" i="85" a="1"/>
  <c r="AF270" i="85"/>
  <c r="AJ270" i="85"/>
  <c r="AL270" i="85"/>
  <c r="AK270" i="85"/>
  <c r="AM270" i="85"/>
  <c r="AN270" i="85"/>
  <c r="B270" i="85"/>
  <c r="C270" i="85"/>
  <c r="P270" i="85"/>
  <c r="S270" i="85"/>
  <c r="AH271" i="85"/>
  <c r="G271" i="85"/>
  <c r="AF271" i="85" a="1"/>
  <c r="AF271" i="85"/>
  <c r="AJ271" i="85"/>
  <c r="AL271" i="85"/>
  <c r="AK271" i="85"/>
  <c r="AM271" i="85"/>
  <c r="AN271" i="85"/>
  <c r="B271" i="85"/>
  <c r="C271" i="85"/>
  <c r="P271" i="85"/>
  <c r="S271" i="85"/>
  <c r="AH272" i="85"/>
  <c r="G272" i="85"/>
  <c r="AF272" i="85" a="1"/>
  <c r="AF272" i="85"/>
  <c r="AJ272" i="85"/>
  <c r="AL272" i="85"/>
  <c r="AK272" i="85"/>
  <c r="AM272" i="85"/>
  <c r="AN272" i="85"/>
  <c r="B272" i="85"/>
  <c r="C272" i="85"/>
  <c r="P272" i="85"/>
  <c r="S272" i="85"/>
  <c r="AH273" i="85"/>
  <c r="G273" i="85"/>
  <c r="AF273" i="85" a="1"/>
  <c r="AF273" i="85"/>
  <c r="AJ273" i="85"/>
  <c r="AL273" i="85"/>
  <c r="AK273" i="85"/>
  <c r="AM273" i="85"/>
  <c r="AN273" i="85"/>
  <c r="B273" i="85"/>
  <c r="C273" i="85"/>
  <c r="P273" i="85"/>
  <c r="S273" i="85"/>
  <c r="AH274" i="85"/>
  <c r="G274" i="85"/>
  <c r="AF274" i="85" a="1"/>
  <c r="AF274" i="85"/>
  <c r="AJ274" i="85"/>
  <c r="AL274" i="85"/>
  <c r="AK274" i="85"/>
  <c r="AM274" i="85"/>
  <c r="AN274" i="85"/>
  <c r="B274" i="85"/>
  <c r="C274" i="85"/>
  <c r="P274" i="85"/>
  <c r="S274" i="85"/>
  <c r="AH275" i="85"/>
  <c r="G275" i="85"/>
  <c r="AF275" i="85" a="1"/>
  <c r="AF275" i="85"/>
  <c r="AJ275" i="85"/>
  <c r="AL275" i="85"/>
  <c r="AK275" i="85"/>
  <c r="AM275" i="85"/>
  <c r="AN275" i="85"/>
  <c r="B275" i="85"/>
  <c r="C275" i="85"/>
  <c r="P275" i="85"/>
  <c r="S275" i="85"/>
  <c r="AH276" i="85"/>
  <c r="G276" i="85"/>
  <c r="AF276" i="85" a="1"/>
  <c r="AF276" i="85"/>
  <c r="AJ276" i="85"/>
  <c r="AL276" i="85"/>
  <c r="AK276" i="85"/>
  <c r="AM276" i="85"/>
  <c r="AN276" i="85"/>
  <c r="B276" i="85"/>
  <c r="C276" i="85"/>
  <c r="P276" i="85"/>
  <c r="S276" i="85"/>
  <c r="AH277" i="85"/>
  <c r="G277" i="85"/>
  <c r="AF277" i="85" a="1"/>
  <c r="AF277" i="85"/>
  <c r="AJ277" i="85"/>
  <c r="AL277" i="85"/>
  <c r="AK277" i="85"/>
  <c r="AM277" i="85"/>
  <c r="AN277" i="85"/>
  <c r="B277" i="85"/>
  <c r="C277" i="85"/>
  <c r="P277" i="85"/>
  <c r="S277" i="85"/>
  <c r="AG300" i="85"/>
  <c r="G300" i="85"/>
  <c r="AF300" i="85" a="1"/>
  <c r="AF300" i="85"/>
  <c r="AJ300" i="85"/>
  <c r="AL300" i="85"/>
  <c r="AK300" i="85"/>
  <c r="AM300" i="85"/>
  <c r="AN300" i="85"/>
  <c r="B300" i="85"/>
  <c r="C300" i="85"/>
  <c r="P300" i="85"/>
  <c r="S300" i="85"/>
  <c r="G301" i="85"/>
  <c r="J301" i="85"/>
  <c r="AG301" i="85"/>
  <c r="AF301" i="85" a="1"/>
  <c r="AF301" i="85"/>
  <c r="AJ301" i="85"/>
  <c r="AL301" i="85"/>
  <c r="AK301" i="85"/>
  <c r="AM301" i="85"/>
  <c r="AN301" i="85"/>
  <c r="B301" i="85"/>
  <c r="C301" i="85"/>
  <c r="P301" i="85"/>
  <c r="S301" i="85"/>
  <c r="G302" i="85"/>
  <c r="J302" i="85"/>
  <c r="AG302" i="85"/>
  <c r="AF302" i="85" a="1"/>
  <c r="AF302" i="85"/>
  <c r="AJ302" i="85"/>
  <c r="AL302" i="85"/>
  <c r="AK302" i="85"/>
  <c r="AM302" i="85"/>
  <c r="AN302" i="85"/>
  <c r="B302" i="85"/>
  <c r="C302" i="85"/>
  <c r="P302" i="85"/>
  <c r="S302" i="85"/>
  <c r="AG303" i="85"/>
  <c r="G303" i="85"/>
  <c r="AF303" i="85" a="1"/>
  <c r="AF303" i="85"/>
  <c r="AJ303" i="85"/>
  <c r="AL303" i="85"/>
  <c r="AK303" i="85"/>
  <c r="AM303" i="85"/>
  <c r="AN303" i="85"/>
  <c r="B303" i="85"/>
  <c r="C303" i="85"/>
  <c r="P303" i="85"/>
  <c r="S303" i="85"/>
  <c r="AG304" i="85"/>
  <c r="G304" i="85"/>
  <c r="AF304" i="85" a="1"/>
  <c r="AF304" i="85"/>
  <c r="AJ304" i="85"/>
  <c r="AL304" i="85"/>
  <c r="AK304" i="85"/>
  <c r="AM304" i="85"/>
  <c r="AN304" i="85"/>
  <c r="B304" i="85"/>
  <c r="C304" i="85"/>
  <c r="P304" i="85"/>
  <c r="S304" i="85"/>
  <c r="AG305" i="85"/>
  <c r="G305" i="85"/>
  <c r="AF305" i="85" a="1"/>
  <c r="AF305" i="85"/>
  <c r="AJ305" i="85"/>
  <c r="AL305" i="85"/>
  <c r="AK305" i="85"/>
  <c r="AM305" i="85"/>
  <c r="AN305" i="85"/>
  <c r="B305" i="85"/>
  <c r="C305" i="85"/>
  <c r="P305" i="85"/>
  <c r="S305" i="85"/>
  <c r="AH306" i="85"/>
  <c r="G306" i="85"/>
  <c r="AF306" i="85" a="1"/>
  <c r="AF306" i="85"/>
  <c r="AJ306" i="85"/>
  <c r="AL306" i="85"/>
  <c r="AK306" i="85"/>
  <c r="AM306" i="85"/>
  <c r="AN306" i="85"/>
  <c r="B306" i="85"/>
  <c r="C306" i="85"/>
  <c r="P306" i="85"/>
  <c r="S306" i="85"/>
  <c r="AG307" i="85"/>
  <c r="G307" i="85"/>
  <c r="AF307" i="85" a="1"/>
  <c r="AF307" i="85"/>
  <c r="AJ307" i="85"/>
  <c r="AL307" i="85"/>
  <c r="AK307" i="85"/>
  <c r="AM307" i="85"/>
  <c r="AN307" i="85"/>
  <c r="B307" i="85"/>
  <c r="C307" i="85"/>
  <c r="P307" i="85"/>
  <c r="S307" i="85"/>
  <c r="G308" i="85"/>
  <c r="J308" i="85"/>
  <c r="AG308" i="85"/>
  <c r="AF308" i="85" a="1"/>
  <c r="AF308" i="85"/>
  <c r="AJ308" i="85"/>
  <c r="AL308" i="85"/>
  <c r="AK308" i="85"/>
  <c r="AM308" i="85"/>
  <c r="AN308" i="85"/>
  <c r="B308" i="85"/>
  <c r="C308" i="85"/>
  <c r="P308" i="85"/>
  <c r="S308" i="85"/>
  <c r="G309" i="85"/>
  <c r="J309" i="85"/>
  <c r="AG309" i="85"/>
  <c r="AF309" i="85" a="1"/>
  <c r="AF309" i="85"/>
  <c r="AJ309" i="85"/>
  <c r="AL309" i="85"/>
  <c r="AK309" i="85"/>
  <c r="AM309" i="85"/>
  <c r="AN309" i="85"/>
  <c r="B309" i="85"/>
  <c r="C309" i="85"/>
  <c r="P309" i="85"/>
  <c r="S309" i="85"/>
  <c r="G310" i="85"/>
  <c r="J310" i="85"/>
  <c r="AG310" i="85"/>
  <c r="AF310" i="85" a="1"/>
  <c r="AF310" i="85"/>
  <c r="AJ310" i="85"/>
  <c r="AL310" i="85"/>
  <c r="AK310" i="85"/>
  <c r="AM310" i="85"/>
  <c r="AN310" i="85"/>
  <c r="B310" i="85"/>
  <c r="C310" i="85"/>
  <c r="P310" i="85"/>
  <c r="S310" i="85"/>
  <c r="AG311" i="85"/>
  <c r="G311" i="85"/>
  <c r="AF311" i="85" a="1"/>
  <c r="AF311" i="85"/>
  <c r="AJ311" i="85"/>
  <c r="AL311" i="85"/>
  <c r="AK311" i="85"/>
  <c r="AM311" i="85"/>
  <c r="AN311" i="85"/>
  <c r="B311" i="85"/>
  <c r="C311" i="85"/>
  <c r="P311" i="85"/>
  <c r="S311" i="85"/>
  <c r="G312" i="85"/>
  <c r="J312" i="85"/>
  <c r="AG312" i="85"/>
  <c r="AF312" i="85" a="1"/>
  <c r="AF312" i="85"/>
  <c r="AJ312" i="85"/>
  <c r="AL312" i="85"/>
  <c r="AK312" i="85"/>
  <c r="AM312" i="85"/>
  <c r="AN312" i="85"/>
  <c r="B312" i="85"/>
  <c r="C312" i="85"/>
  <c r="P312" i="85"/>
  <c r="S312" i="85"/>
  <c r="G313" i="85"/>
  <c r="J313" i="85"/>
  <c r="AG313" i="85"/>
  <c r="AF313" i="85" a="1"/>
  <c r="AF313" i="85"/>
  <c r="AJ313" i="85"/>
  <c r="AL313" i="85"/>
  <c r="AK313" i="85"/>
  <c r="AM313" i="85"/>
  <c r="AN313" i="85"/>
  <c r="B313" i="85"/>
  <c r="C313" i="85"/>
  <c r="P313" i="85"/>
  <c r="S313" i="85"/>
  <c r="G314" i="85"/>
  <c r="J314" i="85"/>
  <c r="AG314" i="85"/>
  <c r="AF314" i="85" a="1"/>
  <c r="AF314" i="85"/>
  <c r="AJ314" i="85"/>
  <c r="AL314" i="85"/>
  <c r="AK314" i="85"/>
  <c r="AM314" i="85"/>
  <c r="AN314" i="85"/>
  <c r="B314" i="85"/>
  <c r="C314" i="85"/>
  <c r="P314" i="85"/>
  <c r="S314" i="85"/>
  <c r="G315" i="85"/>
  <c r="J315" i="85"/>
  <c r="AG315" i="85"/>
  <c r="AF315" i="85" a="1"/>
  <c r="AF315" i="85"/>
  <c r="AJ315" i="85"/>
  <c r="AL315" i="85"/>
  <c r="AK315" i="85"/>
  <c r="AM315" i="85"/>
  <c r="AN315" i="85"/>
  <c r="B315" i="85"/>
  <c r="C315" i="85"/>
  <c r="P315" i="85"/>
  <c r="S315" i="85"/>
  <c r="AG316" i="85"/>
  <c r="G316" i="85"/>
  <c r="AF316" i="85" a="1"/>
  <c r="AF316" i="85"/>
  <c r="AJ316" i="85"/>
  <c r="AL316" i="85"/>
  <c r="AK316" i="85"/>
  <c r="AM316" i="85"/>
  <c r="AN316" i="85"/>
  <c r="B316" i="85"/>
  <c r="C316" i="85"/>
  <c r="P316" i="85"/>
  <c r="S316" i="85"/>
  <c r="AG317" i="85"/>
  <c r="G317" i="85"/>
  <c r="AF317" i="85" a="1"/>
  <c r="AF317" i="85"/>
  <c r="AJ317" i="85"/>
  <c r="AL317" i="85"/>
  <c r="AK317" i="85"/>
  <c r="AM317" i="85"/>
  <c r="AN317" i="85"/>
  <c r="B317" i="85"/>
  <c r="C317" i="85"/>
  <c r="P317" i="85"/>
  <c r="S317" i="85"/>
  <c r="G318" i="85"/>
  <c r="J318" i="85"/>
  <c r="AH318" i="85"/>
  <c r="AF318" i="85" a="1"/>
  <c r="AF318" i="85"/>
  <c r="AJ318" i="85"/>
  <c r="AL318" i="85"/>
  <c r="AK318" i="85"/>
  <c r="AM318" i="85"/>
  <c r="AN318" i="85"/>
  <c r="B318" i="85"/>
  <c r="C318" i="85"/>
  <c r="P318" i="85"/>
  <c r="S318" i="85"/>
  <c r="G319" i="85"/>
  <c r="J319" i="85"/>
  <c r="AH319" i="85"/>
  <c r="AF319" i="85" a="1"/>
  <c r="AF319" i="85"/>
  <c r="AJ319" i="85"/>
  <c r="AL319" i="85"/>
  <c r="AK319" i="85"/>
  <c r="AM319" i="85"/>
  <c r="AN319" i="85"/>
  <c r="B319" i="85"/>
  <c r="C319" i="85"/>
  <c r="P319" i="85"/>
  <c r="S319" i="85"/>
  <c r="G320" i="85"/>
  <c r="J320" i="85"/>
  <c r="AH320" i="85"/>
  <c r="AF320" i="85" a="1"/>
  <c r="AF320" i="85"/>
  <c r="AJ320" i="85"/>
  <c r="AL320" i="85"/>
  <c r="AK320" i="85"/>
  <c r="AM320" i="85"/>
  <c r="AN320" i="85"/>
  <c r="B320" i="85"/>
  <c r="C320" i="85"/>
  <c r="P320" i="85"/>
  <c r="S320" i="85"/>
  <c r="G321" i="85"/>
  <c r="J321" i="85"/>
  <c r="AH321" i="85"/>
  <c r="AF321" i="85" a="1"/>
  <c r="AF321" i="85"/>
  <c r="AJ321" i="85"/>
  <c r="AL321" i="85"/>
  <c r="AK321" i="85"/>
  <c r="AM321" i="85"/>
  <c r="AN321" i="85"/>
  <c r="B321" i="85"/>
  <c r="C321" i="85"/>
  <c r="P321" i="85"/>
  <c r="S321" i="85"/>
  <c r="G322" i="85"/>
  <c r="J322" i="85"/>
  <c r="AH322" i="85"/>
  <c r="AF322" i="85" a="1"/>
  <c r="AF322" i="85"/>
  <c r="AJ322" i="85"/>
  <c r="AL322" i="85"/>
  <c r="AK322" i="85"/>
  <c r="AM322" i="85"/>
  <c r="AN322" i="85"/>
  <c r="B322" i="85"/>
  <c r="C322" i="85"/>
  <c r="P322" i="85"/>
  <c r="S322" i="85"/>
  <c r="G323" i="85"/>
  <c r="J323" i="85"/>
  <c r="AH323" i="85"/>
  <c r="AF323" i="85" a="1"/>
  <c r="AF323" i="85"/>
  <c r="AJ323" i="85"/>
  <c r="AL323" i="85"/>
  <c r="AK323" i="85"/>
  <c r="AM323" i="85"/>
  <c r="AN323" i="85"/>
  <c r="B323" i="85"/>
  <c r="C323" i="85"/>
  <c r="P323" i="85"/>
  <c r="S323" i="85"/>
  <c r="G324" i="85"/>
  <c r="J324" i="85"/>
  <c r="AH324" i="85"/>
  <c r="AF324" i="85" a="1"/>
  <c r="AF324" i="85"/>
  <c r="AJ324" i="85"/>
  <c r="AL324" i="85"/>
  <c r="AK324" i="85"/>
  <c r="AM324" i="85"/>
  <c r="AN324" i="85"/>
  <c r="B324" i="85"/>
  <c r="C324" i="85"/>
  <c r="P324" i="85"/>
  <c r="S324" i="85"/>
  <c r="G325" i="85"/>
  <c r="J325" i="85"/>
  <c r="AH325" i="85"/>
  <c r="AF325" i="85" a="1"/>
  <c r="AF325" i="85"/>
  <c r="AJ325" i="85"/>
  <c r="AL325" i="85"/>
  <c r="AK325" i="85"/>
  <c r="AM325" i="85"/>
  <c r="AN325" i="85"/>
  <c r="B325" i="85"/>
  <c r="C325" i="85"/>
  <c r="P325" i="85"/>
  <c r="S325" i="85"/>
  <c r="G326" i="85"/>
  <c r="J326" i="85"/>
  <c r="AH326" i="85"/>
  <c r="AF326" i="85" a="1"/>
  <c r="AF326" i="85"/>
  <c r="AJ326" i="85"/>
  <c r="AL326" i="85"/>
  <c r="AK326" i="85"/>
  <c r="AM326" i="85"/>
  <c r="AN326" i="85"/>
  <c r="B326" i="85"/>
  <c r="C326" i="85"/>
  <c r="P326" i="85"/>
  <c r="S326" i="85"/>
  <c r="G327" i="85"/>
  <c r="J327" i="85"/>
  <c r="AH327" i="85"/>
  <c r="AF327" i="85" a="1"/>
  <c r="AF327" i="85"/>
  <c r="AJ327" i="85"/>
  <c r="AL327" i="85"/>
  <c r="AK327" i="85"/>
  <c r="AM327" i="85"/>
  <c r="AN327" i="85"/>
  <c r="B327" i="85"/>
  <c r="C327" i="85"/>
  <c r="P327" i="85"/>
  <c r="S327" i="85"/>
  <c r="G328" i="85"/>
  <c r="J328" i="85"/>
  <c r="AH328" i="85"/>
  <c r="AF328" i="85" a="1"/>
  <c r="AF328" i="85"/>
  <c r="AJ328" i="85"/>
  <c r="AL328" i="85"/>
  <c r="AK328" i="85"/>
  <c r="AM328" i="85"/>
  <c r="AN328" i="85"/>
  <c r="B328" i="85"/>
  <c r="C328" i="85"/>
  <c r="P328" i="85"/>
  <c r="S328" i="85"/>
  <c r="G329" i="85"/>
  <c r="J329" i="85"/>
  <c r="AH329" i="85"/>
  <c r="AF329" i="85" a="1"/>
  <c r="AF329" i="85"/>
  <c r="AJ329" i="85"/>
  <c r="AL329" i="85"/>
  <c r="AK329" i="85"/>
  <c r="AM329" i="85"/>
  <c r="AN329" i="85"/>
  <c r="B329" i="85"/>
  <c r="C329" i="85"/>
  <c r="P329" i="85"/>
  <c r="S329" i="85"/>
  <c r="G330" i="85"/>
  <c r="J330" i="85"/>
  <c r="AH330" i="85"/>
  <c r="AF330" i="85" a="1"/>
  <c r="AF330" i="85"/>
  <c r="AJ330" i="85"/>
  <c r="AL330" i="85"/>
  <c r="AK330" i="85"/>
  <c r="AM330" i="85"/>
  <c r="AN330" i="85"/>
  <c r="B330" i="85"/>
  <c r="C330" i="85"/>
  <c r="P330" i="85"/>
  <c r="S330" i="85"/>
  <c r="G331" i="85"/>
  <c r="J331" i="85"/>
  <c r="AH331" i="85"/>
  <c r="AF331" i="85" a="1"/>
  <c r="AF331" i="85"/>
  <c r="AJ331" i="85"/>
  <c r="AL331" i="85"/>
  <c r="AK331" i="85"/>
  <c r="AM331" i="85"/>
  <c r="AN331" i="85"/>
  <c r="B331" i="85"/>
  <c r="C331" i="85"/>
  <c r="P331" i="85"/>
  <c r="S331" i="85"/>
  <c r="G332" i="85"/>
  <c r="J332" i="85"/>
  <c r="AH332" i="85"/>
  <c r="AF332" i="85" a="1"/>
  <c r="AF332" i="85"/>
  <c r="AJ332" i="85"/>
  <c r="AL332" i="85"/>
  <c r="AK332" i="85"/>
  <c r="AM332" i="85"/>
  <c r="AN332" i="85"/>
  <c r="B332" i="85"/>
  <c r="C332" i="85"/>
  <c r="P332" i="85"/>
  <c r="S332" i="85"/>
  <c r="G333" i="85"/>
  <c r="J333" i="85"/>
  <c r="AH333" i="85"/>
  <c r="AF333" i="85" a="1"/>
  <c r="AF333" i="85"/>
  <c r="AJ333" i="85"/>
  <c r="AL333" i="85"/>
  <c r="AK333" i="85"/>
  <c r="AM333" i="85"/>
  <c r="AN333" i="85"/>
  <c r="B333" i="85"/>
  <c r="C333" i="85"/>
  <c r="P333" i="85"/>
  <c r="S333" i="85"/>
  <c r="AG334" i="85"/>
  <c r="G334" i="85"/>
  <c r="AF334" i="85" a="1"/>
  <c r="AF334" i="85"/>
  <c r="AJ334" i="85"/>
  <c r="AL334" i="85"/>
  <c r="AK334" i="85"/>
  <c r="AM334" i="85"/>
  <c r="AN334" i="85"/>
  <c r="B334" i="85"/>
  <c r="C334" i="85"/>
  <c r="P334" i="85"/>
  <c r="S334" i="85"/>
  <c r="AG335" i="85"/>
  <c r="G335" i="85"/>
  <c r="AF335" i="85" a="1"/>
  <c r="AF335" i="85"/>
  <c r="AJ335" i="85"/>
  <c r="AL335" i="85"/>
  <c r="AK335" i="85"/>
  <c r="AM335" i="85"/>
  <c r="AN335" i="85"/>
  <c r="B335" i="85"/>
  <c r="C335" i="85"/>
  <c r="P335" i="85"/>
  <c r="S335" i="85"/>
  <c r="AG336" i="85"/>
  <c r="G336" i="85"/>
  <c r="AF336" i="85" a="1"/>
  <c r="AF336" i="85"/>
  <c r="AJ336" i="85"/>
  <c r="AL336" i="85"/>
  <c r="AK336" i="85"/>
  <c r="AM336" i="85"/>
  <c r="AN336" i="85"/>
  <c r="B336" i="85"/>
  <c r="C336" i="85"/>
  <c r="P336" i="85"/>
  <c r="S336" i="85"/>
  <c r="AG337" i="85"/>
  <c r="G337" i="85"/>
  <c r="AF337" i="85" a="1"/>
  <c r="AF337" i="85"/>
  <c r="AJ337" i="85"/>
  <c r="AL337" i="85"/>
  <c r="AK337" i="85"/>
  <c r="AM337" i="85"/>
  <c r="AN337" i="85"/>
  <c r="B337" i="85"/>
  <c r="C337" i="85"/>
  <c r="P337" i="85"/>
  <c r="S337" i="85"/>
  <c r="AG338" i="85"/>
  <c r="G338" i="85"/>
  <c r="AF338" i="85" a="1"/>
  <c r="AF338" i="85"/>
  <c r="AJ338" i="85"/>
  <c r="AL338" i="85"/>
  <c r="AK338" i="85"/>
  <c r="AM338" i="85"/>
  <c r="AN338" i="85"/>
  <c r="B338" i="85"/>
  <c r="C338" i="85"/>
  <c r="P338" i="85"/>
  <c r="S338" i="85"/>
  <c r="AG339" i="85"/>
  <c r="G339" i="85"/>
  <c r="AF339" i="85" a="1"/>
  <c r="AF339" i="85"/>
  <c r="AJ339" i="85"/>
  <c r="AL339" i="85"/>
  <c r="AK339" i="85"/>
  <c r="AM339" i="85"/>
  <c r="AN339" i="85"/>
  <c r="B339" i="85"/>
  <c r="C339" i="85"/>
  <c r="P339" i="85"/>
  <c r="S339" i="85"/>
  <c r="AG340" i="85"/>
  <c r="G340" i="85"/>
  <c r="AF340" i="85" a="1"/>
  <c r="AF340" i="85"/>
  <c r="AJ340" i="85"/>
  <c r="AL340" i="85"/>
  <c r="AK340" i="85"/>
  <c r="AM340" i="85"/>
  <c r="AN340" i="85"/>
  <c r="B340" i="85"/>
  <c r="C340" i="85"/>
  <c r="P340" i="85"/>
  <c r="S340" i="85"/>
  <c r="AG341" i="85"/>
  <c r="G341" i="85"/>
  <c r="AF341" i="85" a="1"/>
  <c r="AF341" i="85"/>
  <c r="AJ341" i="85"/>
  <c r="AL341" i="85"/>
  <c r="AK341" i="85"/>
  <c r="AM341" i="85"/>
  <c r="AN341" i="85"/>
  <c r="B341" i="85"/>
  <c r="C341" i="85"/>
  <c r="P341" i="85"/>
  <c r="S341" i="85"/>
  <c r="AG342" i="85"/>
  <c r="G342" i="85"/>
  <c r="AF342" i="85" a="1"/>
  <c r="AF342" i="85"/>
  <c r="AJ342" i="85"/>
  <c r="AL342" i="85"/>
  <c r="AK342" i="85"/>
  <c r="AM342" i="85"/>
  <c r="AN342" i="85"/>
  <c r="B342" i="85"/>
  <c r="C342" i="85"/>
  <c r="P342" i="85"/>
  <c r="S342" i="85"/>
  <c r="AG343" i="85"/>
  <c r="G343" i="85"/>
  <c r="AF343" i="85" a="1"/>
  <c r="AF343" i="85"/>
  <c r="AJ343" i="85"/>
  <c r="AL343" i="85"/>
  <c r="AK343" i="85"/>
  <c r="AM343" i="85"/>
  <c r="AN343" i="85"/>
  <c r="B343" i="85"/>
  <c r="C343" i="85"/>
  <c r="P343" i="85"/>
  <c r="S343" i="85"/>
  <c r="AG344" i="85"/>
  <c r="G344" i="85"/>
  <c r="AF344" i="85" a="1"/>
  <c r="AF344" i="85"/>
  <c r="AJ344" i="85"/>
  <c r="AL344" i="85"/>
  <c r="AK344" i="85"/>
  <c r="AM344" i="85"/>
  <c r="AN344" i="85"/>
  <c r="B344" i="85"/>
  <c r="C344" i="85"/>
  <c r="P344" i="85"/>
  <c r="S344" i="85"/>
  <c r="AG345" i="85"/>
  <c r="G345" i="85"/>
  <c r="AF345" i="85" a="1"/>
  <c r="AF345" i="85"/>
  <c r="AJ345" i="85"/>
  <c r="AL345" i="85"/>
  <c r="AK345" i="85"/>
  <c r="AM345" i="85"/>
  <c r="AN345" i="85"/>
  <c r="B345" i="85"/>
  <c r="C345" i="85"/>
  <c r="P345" i="85"/>
  <c r="S345" i="85"/>
  <c r="AG346" i="85"/>
  <c r="G346" i="85"/>
  <c r="AF346" i="85" a="1"/>
  <c r="AF346" i="85"/>
  <c r="AJ346" i="85"/>
  <c r="AL346" i="85"/>
  <c r="AK346" i="85"/>
  <c r="AM346" i="85"/>
  <c r="AN346" i="85"/>
  <c r="B346" i="85"/>
  <c r="C346" i="85"/>
  <c r="P346" i="85"/>
  <c r="S346" i="85"/>
  <c r="AG347" i="85"/>
  <c r="G347" i="85"/>
  <c r="AF347" i="85" a="1"/>
  <c r="AF347" i="85"/>
  <c r="AJ347" i="85"/>
  <c r="AL347" i="85"/>
  <c r="AK347" i="85"/>
  <c r="AM347" i="85"/>
  <c r="AN347" i="85"/>
  <c r="B347" i="85"/>
  <c r="C347" i="85"/>
  <c r="P347" i="85"/>
  <c r="S347" i="85"/>
  <c r="AG348" i="85"/>
  <c r="G348" i="85"/>
  <c r="AF348" i="85" a="1"/>
  <c r="AF348" i="85"/>
  <c r="AJ348" i="85"/>
  <c r="AL348" i="85"/>
  <c r="AK348" i="85"/>
  <c r="AM348" i="85"/>
  <c r="AN348" i="85"/>
  <c r="B348" i="85"/>
  <c r="C348" i="85"/>
  <c r="P348" i="85"/>
  <c r="S348" i="85"/>
  <c r="AG349" i="85"/>
  <c r="G349" i="85"/>
  <c r="AF349" i="85" a="1"/>
  <c r="AF349" i="85"/>
  <c r="AJ349" i="85"/>
  <c r="AL349" i="85"/>
  <c r="AK349" i="85"/>
  <c r="AM349" i="85"/>
  <c r="AN349" i="85"/>
  <c r="B349" i="85"/>
  <c r="C349" i="85"/>
  <c r="P349" i="85"/>
  <c r="S349" i="85"/>
  <c r="AG350" i="85"/>
  <c r="G350" i="85"/>
  <c r="AF350" i="85" a="1"/>
  <c r="AF350" i="85"/>
  <c r="AJ350" i="85"/>
  <c r="AL350" i="85"/>
  <c r="AK350" i="85"/>
  <c r="AM350" i="85"/>
  <c r="AN350" i="85"/>
  <c r="B350" i="85"/>
  <c r="C350" i="85"/>
  <c r="P350" i="85"/>
  <c r="S350" i="85"/>
  <c r="AG351" i="85"/>
  <c r="G351" i="85"/>
  <c r="AF351" i="85" a="1"/>
  <c r="AF351" i="85"/>
  <c r="AJ351" i="85"/>
  <c r="AL351" i="85"/>
  <c r="AK351" i="85"/>
  <c r="AM351" i="85"/>
  <c r="AN351" i="85"/>
  <c r="B351" i="85"/>
  <c r="C351" i="85"/>
  <c r="P351" i="85"/>
  <c r="S351" i="85"/>
  <c r="AD352" i="85"/>
  <c r="AG352" i="85"/>
  <c r="G352" i="85"/>
  <c r="AF352" i="85" a="1"/>
  <c r="AF352" i="85"/>
  <c r="AJ352" i="85"/>
  <c r="AL352" i="85"/>
  <c r="AK352" i="85"/>
  <c r="AM352" i="85"/>
  <c r="AN352" i="85"/>
  <c r="B352" i="85"/>
  <c r="C352" i="85"/>
  <c r="P352" i="85"/>
  <c r="S352" i="85"/>
  <c r="AD353" i="85"/>
  <c r="AG353" i="85"/>
  <c r="G353" i="85"/>
  <c r="AF353" i="85" a="1"/>
  <c r="AF353" i="85"/>
  <c r="AJ353" i="85"/>
  <c r="AL353" i="85"/>
  <c r="AK353" i="85"/>
  <c r="AM353" i="85"/>
  <c r="AN353" i="85"/>
  <c r="B353" i="85"/>
  <c r="C353" i="85"/>
  <c r="P353" i="85"/>
  <c r="S353" i="85"/>
  <c r="AD354" i="85"/>
  <c r="AG354" i="85"/>
  <c r="G354" i="85"/>
  <c r="AF354" i="85" a="1"/>
  <c r="AF354" i="85"/>
  <c r="AJ354" i="85"/>
  <c r="AL354" i="85"/>
  <c r="AK354" i="85"/>
  <c r="AM354" i="85"/>
  <c r="AN354" i="85"/>
  <c r="B354" i="85"/>
  <c r="C354" i="85"/>
  <c r="P354" i="85"/>
  <c r="S354" i="85"/>
  <c r="AD355" i="85"/>
  <c r="AG355" i="85"/>
  <c r="G355" i="85"/>
  <c r="AF355" i="85" a="1"/>
  <c r="AF355" i="85"/>
  <c r="AJ355" i="85"/>
  <c r="AL355" i="85"/>
  <c r="AK355" i="85"/>
  <c r="AM355" i="85"/>
  <c r="AN355" i="85"/>
  <c r="B355" i="85"/>
  <c r="C355" i="85"/>
  <c r="P355" i="85"/>
  <c r="S355" i="85"/>
  <c r="AD356" i="85"/>
  <c r="AG356" i="85"/>
  <c r="G356" i="85"/>
  <c r="AF356" i="85" a="1"/>
  <c r="AF356" i="85"/>
  <c r="AJ356" i="85"/>
  <c r="AL356" i="85"/>
  <c r="AK356" i="85"/>
  <c r="AM356" i="85"/>
  <c r="AN356" i="85"/>
  <c r="B356" i="85"/>
  <c r="C356" i="85"/>
  <c r="P356" i="85"/>
  <c r="S356" i="85"/>
  <c r="AG357" i="85"/>
  <c r="G357" i="85"/>
  <c r="AF357" i="85" a="1"/>
  <c r="AF357" i="85"/>
  <c r="AJ357" i="85"/>
  <c r="AL357" i="85"/>
  <c r="AK357" i="85"/>
  <c r="AM357" i="85"/>
  <c r="AN357" i="85"/>
  <c r="B357" i="85"/>
  <c r="C357" i="85"/>
  <c r="P357" i="85"/>
  <c r="S357" i="85"/>
  <c r="AG358" i="85"/>
  <c r="G358" i="85"/>
  <c r="AF358" i="85" a="1"/>
  <c r="AF358" i="85"/>
  <c r="AJ358" i="85"/>
  <c r="AL358" i="85"/>
  <c r="AK358" i="85"/>
  <c r="AM358" i="85"/>
  <c r="AN358" i="85"/>
  <c r="B358" i="85"/>
  <c r="C358" i="85"/>
  <c r="P358" i="85"/>
  <c r="S358" i="85"/>
  <c r="AG359" i="85"/>
  <c r="G359" i="85"/>
  <c r="AF359" i="85" a="1"/>
  <c r="AF359" i="85"/>
  <c r="AJ359" i="85"/>
  <c r="AL359" i="85"/>
  <c r="AK359" i="85"/>
  <c r="AM359" i="85"/>
  <c r="AN359" i="85"/>
  <c r="B359" i="85"/>
  <c r="C359" i="85"/>
  <c r="P359" i="85"/>
  <c r="S359" i="85"/>
  <c r="AG360" i="85"/>
  <c r="G360" i="85"/>
  <c r="AF360" i="85" a="1"/>
  <c r="AF360" i="85"/>
  <c r="AJ360" i="85"/>
  <c r="AL360" i="85"/>
  <c r="AK360" i="85"/>
  <c r="AM360" i="85"/>
  <c r="AN360" i="85"/>
  <c r="B360" i="85"/>
  <c r="C360" i="85"/>
  <c r="P360" i="85"/>
  <c r="S360" i="85"/>
  <c r="AG361" i="85"/>
  <c r="G361" i="85"/>
  <c r="AF361" i="85" a="1"/>
  <c r="AF361" i="85"/>
  <c r="AJ361" i="85"/>
  <c r="AL361" i="85"/>
  <c r="AK361" i="85"/>
  <c r="AM361" i="85"/>
  <c r="AN361" i="85"/>
  <c r="B361" i="85"/>
  <c r="C361" i="85"/>
  <c r="P361" i="85"/>
  <c r="S361" i="85"/>
  <c r="AG362" i="85"/>
  <c r="G362" i="85"/>
  <c r="AF362" i="85" a="1"/>
  <c r="AF362" i="85"/>
  <c r="AJ362" i="85"/>
  <c r="AL362" i="85"/>
  <c r="AK362" i="85"/>
  <c r="AM362" i="85"/>
  <c r="AN362" i="85"/>
  <c r="B362" i="85"/>
  <c r="C362" i="85"/>
  <c r="P362" i="85"/>
  <c r="S362" i="85"/>
  <c r="AD363" i="85"/>
  <c r="AG363" i="85"/>
  <c r="G363" i="85"/>
  <c r="AF363" i="85" a="1"/>
  <c r="AF363" i="85"/>
  <c r="AJ363" i="85"/>
  <c r="AL363" i="85"/>
  <c r="AK363" i="85"/>
  <c r="AM363" i="85"/>
  <c r="AN363" i="85"/>
  <c r="B363" i="85"/>
  <c r="C363" i="85"/>
  <c r="P363" i="85"/>
  <c r="S363" i="85"/>
  <c r="AD364" i="85"/>
  <c r="AG364" i="85"/>
  <c r="G364" i="85"/>
  <c r="AF364" i="85" a="1"/>
  <c r="AF364" i="85"/>
  <c r="AJ364" i="85"/>
  <c r="AL364" i="85"/>
  <c r="AK364" i="85"/>
  <c r="AM364" i="85"/>
  <c r="AN364" i="85"/>
  <c r="B364" i="85"/>
  <c r="C364" i="85"/>
  <c r="P364" i="85"/>
  <c r="S364" i="85"/>
  <c r="AD365" i="85"/>
  <c r="AG365" i="85"/>
  <c r="G365" i="85"/>
  <c r="AF365" i="85" a="1"/>
  <c r="AF365" i="85"/>
  <c r="AJ365" i="85"/>
  <c r="AL365" i="85"/>
  <c r="AK365" i="85"/>
  <c r="AM365" i="85"/>
  <c r="AN365" i="85"/>
  <c r="B365" i="85"/>
  <c r="C365" i="85"/>
  <c r="P365" i="85"/>
  <c r="S365" i="85"/>
  <c r="AD366" i="85"/>
  <c r="AG366" i="85"/>
  <c r="G366" i="85"/>
  <c r="AF366" i="85" a="1"/>
  <c r="AF366" i="85"/>
  <c r="AJ366" i="85"/>
  <c r="AL366" i="85"/>
  <c r="AK366" i="85"/>
  <c r="AM366" i="85"/>
  <c r="AN366" i="85"/>
  <c r="B366" i="85"/>
  <c r="C366" i="85"/>
  <c r="P366" i="85"/>
  <c r="S366" i="85"/>
  <c r="AD367" i="85"/>
  <c r="AG367" i="85"/>
  <c r="G367" i="85"/>
  <c r="AF367" i="85" a="1"/>
  <c r="AF367" i="85"/>
  <c r="AJ367" i="85"/>
  <c r="AL367" i="85"/>
  <c r="AK367" i="85"/>
  <c r="AM367" i="85"/>
  <c r="AN367" i="85"/>
  <c r="B367" i="85"/>
  <c r="C367" i="85"/>
  <c r="P367" i="85"/>
  <c r="S367" i="85"/>
  <c r="AG368" i="85"/>
  <c r="G368" i="85"/>
  <c r="AF368" i="85" a="1"/>
  <c r="AF368" i="85"/>
  <c r="AJ368" i="85"/>
  <c r="AL368" i="85"/>
  <c r="AK368" i="85"/>
  <c r="AM368" i="85"/>
  <c r="AN368" i="85"/>
  <c r="B368" i="85"/>
  <c r="C368" i="85"/>
  <c r="P368" i="85"/>
  <c r="S368" i="85"/>
  <c r="AG369" i="85"/>
  <c r="G369" i="85"/>
  <c r="AF369" i="85" a="1"/>
  <c r="AF369" i="85"/>
  <c r="AJ369" i="85"/>
  <c r="AL369" i="85"/>
  <c r="AK369" i="85"/>
  <c r="AM369" i="85"/>
  <c r="AN369" i="85"/>
  <c r="B369" i="85"/>
  <c r="C369" i="85"/>
  <c r="P369" i="85"/>
  <c r="S369" i="85"/>
  <c r="AG370" i="85"/>
  <c r="G370" i="85"/>
  <c r="AF370" i="85" a="1"/>
  <c r="AF370" i="85"/>
  <c r="AJ370" i="85"/>
  <c r="AL370" i="85"/>
  <c r="AK370" i="85"/>
  <c r="AM370" i="85"/>
  <c r="AN370" i="85"/>
  <c r="B370" i="85"/>
  <c r="C370" i="85"/>
  <c r="P370" i="85"/>
  <c r="S370" i="85"/>
  <c r="AG371" i="85"/>
  <c r="G371" i="85"/>
  <c r="AF371" i="85" a="1"/>
  <c r="AF371" i="85"/>
  <c r="AJ371" i="85"/>
  <c r="AL371" i="85"/>
  <c r="AK371" i="85"/>
  <c r="AM371" i="85"/>
  <c r="AN371" i="85"/>
  <c r="B371" i="85"/>
  <c r="C371" i="85"/>
  <c r="P371" i="85"/>
  <c r="S371" i="85"/>
  <c r="AG372" i="85"/>
  <c r="G372" i="85"/>
  <c r="AF372" i="85" a="1"/>
  <c r="AF372" i="85"/>
  <c r="AJ372" i="85"/>
  <c r="AL372" i="85"/>
  <c r="AK372" i="85"/>
  <c r="AM372" i="85"/>
  <c r="AN372" i="85"/>
  <c r="B372" i="85"/>
  <c r="C372" i="85"/>
  <c r="P372" i="85"/>
  <c r="S372" i="85"/>
  <c r="AG373" i="85"/>
  <c r="G373" i="85"/>
  <c r="AF373" i="85" a="1"/>
  <c r="AF373" i="85"/>
  <c r="AJ373" i="85"/>
  <c r="AL373" i="85"/>
  <c r="AK373" i="85"/>
  <c r="AM373" i="85"/>
  <c r="AN373" i="85"/>
  <c r="B373" i="85"/>
  <c r="C373" i="85"/>
  <c r="P373" i="85"/>
  <c r="S373" i="85"/>
  <c r="AG374" i="85"/>
  <c r="G374" i="85"/>
  <c r="AF374" i="85" a="1"/>
  <c r="AF374" i="85"/>
  <c r="AJ374" i="85"/>
  <c r="AL374" i="85"/>
  <c r="AK374" i="85"/>
  <c r="AM374" i="85"/>
  <c r="AN374" i="85"/>
  <c r="B374" i="85"/>
  <c r="C374" i="85"/>
  <c r="P374" i="85"/>
  <c r="S374" i="85"/>
  <c r="AG375" i="85"/>
  <c r="G375" i="85"/>
  <c r="AF375" i="85" a="1"/>
  <c r="AF375" i="85"/>
  <c r="AJ375" i="85"/>
  <c r="AL375" i="85"/>
  <c r="AK375" i="85"/>
  <c r="AM375" i="85"/>
  <c r="AN375" i="85"/>
  <c r="B375" i="85"/>
  <c r="C375" i="85"/>
  <c r="P375" i="85"/>
  <c r="S375" i="85"/>
  <c r="AG376" i="85"/>
  <c r="G376" i="85"/>
  <c r="AF376" i="85" a="1"/>
  <c r="AF376" i="85"/>
  <c r="AJ376" i="85"/>
  <c r="AL376" i="85"/>
  <c r="AK376" i="85"/>
  <c r="AM376" i="85"/>
  <c r="AN376" i="85"/>
  <c r="B376" i="85"/>
  <c r="C376" i="85"/>
  <c r="P376" i="85"/>
  <c r="S376" i="85"/>
  <c r="AD377" i="85"/>
  <c r="AG377" i="85"/>
  <c r="G377" i="85"/>
  <c r="AF377" i="85" a="1"/>
  <c r="AF377" i="85"/>
  <c r="AJ377" i="85"/>
  <c r="AL377" i="85"/>
  <c r="AK377" i="85"/>
  <c r="AM377" i="85"/>
  <c r="AN377" i="85"/>
  <c r="B377" i="85"/>
  <c r="C377" i="85"/>
  <c r="P377" i="85"/>
  <c r="S377" i="85"/>
  <c r="AD378" i="85"/>
  <c r="AG378" i="85"/>
  <c r="G378" i="85"/>
  <c r="AF378" i="85" a="1"/>
  <c r="AF378" i="85"/>
  <c r="AJ378" i="85"/>
  <c r="AL378" i="85"/>
  <c r="AK378" i="85"/>
  <c r="AM378" i="85"/>
  <c r="AN378" i="85"/>
  <c r="B378" i="85"/>
  <c r="C378" i="85"/>
  <c r="P378" i="85"/>
  <c r="S378" i="85"/>
  <c r="AD379" i="85"/>
  <c r="AG379" i="85"/>
  <c r="G379" i="85"/>
  <c r="AF379" i="85" a="1"/>
  <c r="AF379" i="85"/>
  <c r="AJ379" i="85"/>
  <c r="AL379" i="85"/>
  <c r="AK379" i="85"/>
  <c r="AM379" i="85"/>
  <c r="AN379" i="85"/>
  <c r="B379" i="85"/>
  <c r="C379" i="85"/>
  <c r="P379" i="85"/>
  <c r="S379" i="85"/>
  <c r="AD380" i="85"/>
  <c r="AG380" i="85"/>
  <c r="G380" i="85"/>
  <c r="AF380" i="85" a="1"/>
  <c r="AF380" i="85"/>
  <c r="AJ380" i="85"/>
  <c r="AL380" i="85"/>
  <c r="AK380" i="85"/>
  <c r="AM380" i="85"/>
  <c r="AN380" i="85"/>
  <c r="B380" i="85"/>
  <c r="C380" i="85"/>
  <c r="P380" i="85"/>
  <c r="S380" i="85"/>
  <c r="AD381" i="85"/>
  <c r="AG381" i="85"/>
  <c r="G381" i="85"/>
  <c r="AF381" i="85" a="1"/>
  <c r="AF381" i="85"/>
  <c r="AJ381" i="85"/>
  <c r="AL381" i="85"/>
  <c r="AK381" i="85"/>
  <c r="AM381" i="85"/>
  <c r="AN381" i="85"/>
  <c r="B381" i="85"/>
  <c r="C381" i="85"/>
  <c r="P381" i="85"/>
  <c r="S381" i="85"/>
  <c r="AD382" i="85"/>
  <c r="AG382" i="85"/>
  <c r="G382" i="85"/>
  <c r="AF382" i="85" a="1"/>
  <c r="AF382" i="85"/>
  <c r="AJ382" i="85"/>
  <c r="AL382" i="85"/>
  <c r="AK382" i="85"/>
  <c r="AM382" i="85"/>
  <c r="AN382" i="85"/>
  <c r="B382" i="85"/>
  <c r="C382" i="85"/>
  <c r="P382" i="85"/>
  <c r="S382" i="85"/>
  <c r="AG383" i="85"/>
  <c r="G383" i="85"/>
  <c r="AF383" i="85" a="1"/>
  <c r="AF383" i="85"/>
  <c r="AJ383" i="85"/>
  <c r="AL383" i="85"/>
  <c r="AK383" i="85"/>
  <c r="AM383" i="85"/>
  <c r="AN383" i="85"/>
  <c r="B383" i="85"/>
  <c r="C383" i="85"/>
  <c r="P383" i="85"/>
  <c r="S383" i="85"/>
  <c r="AG384" i="85"/>
  <c r="G384" i="85"/>
  <c r="AF384" i="85" a="1"/>
  <c r="AF384" i="85"/>
  <c r="AJ384" i="85"/>
  <c r="AL384" i="85"/>
  <c r="AK384" i="85"/>
  <c r="AM384" i="85"/>
  <c r="AN384" i="85"/>
  <c r="B384" i="85"/>
  <c r="C384" i="85"/>
  <c r="P384" i="85"/>
  <c r="S384" i="85"/>
  <c r="AG385" i="85"/>
  <c r="G385" i="85"/>
  <c r="AF385" i="85" a="1"/>
  <c r="AF385" i="85"/>
  <c r="AJ385" i="85"/>
  <c r="AL385" i="85"/>
  <c r="AK385" i="85"/>
  <c r="AM385" i="85"/>
  <c r="AN385" i="85"/>
  <c r="B385" i="85"/>
  <c r="C385" i="85"/>
  <c r="P385" i="85"/>
  <c r="S385" i="85"/>
  <c r="G386" i="85"/>
  <c r="J386" i="85"/>
  <c r="AG386" i="85"/>
  <c r="AF386" i="85" a="1"/>
  <c r="AF386" i="85"/>
  <c r="AJ386" i="85"/>
  <c r="AL386" i="85"/>
  <c r="AK386" i="85"/>
  <c r="AM386" i="85"/>
  <c r="AN386" i="85"/>
  <c r="B386" i="85"/>
  <c r="C386" i="85"/>
  <c r="P386" i="85"/>
  <c r="S386" i="85"/>
  <c r="G387" i="85"/>
  <c r="J387" i="85"/>
  <c r="AG387" i="85"/>
  <c r="AF387" i="85" a="1"/>
  <c r="AF387" i="85"/>
  <c r="AJ387" i="85"/>
  <c r="AL387" i="85"/>
  <c r="AK387" i="85"/>
  <c r="AM387" i="85"/>
  <c r="AN387" i="85"/>
  <c r="B387" i="85"/>
  <c r="C387" i="85"/>
  <c r="P387" i="85"/>
  <c r="S387" i="85"/>
  <c r="AG388" i="85"/>
  <c r="G388" i="85"/>
  <c r="AF388" i="85" a="1"/>
  <c r="AF388" i="85"/>
  <c r="AJ388" i="85"/>
  <c r="AL388" i="85"/>
  <c r="AK388" i="85"/>
  <c r="AM388" i="85"/>
  <c r="AN388" i="85"/>
  <c r="B388" i="85"/>
  <c r="C388" i="85"/>
  <c r="P388" i="85"/>
  <c r="S388" i="85"/>
  <c r="AG389" i="85"/>
  <c r="G389" i="85"/>
  <c r="AF389" i="85" a="1"/>
  <c r="AF389" i="85"/>
  <c r="AJ389" i="85"/>
  <c r="AL389" i="85"/>
  <c r="AK389" i="85"/>
  <c r="AM389" i="85"/>
  <c r="AN389" i="85"/>
  <c r="B389" i="85"/>
  <c r="C389" i="85"/>
  <c r="P389" i="85"/>
  <c r="S389" i="85"/>
  <c r="AG390" i="85"/>
  <c r="G390" i="85"/>
  <c r="AF390" i="85" a="1"/>
  <c r="AF390" i="85"/>
  <c r="AJ390" i="85"/>
  <c r="AL390" i="85"/>
  <c r="AK390" i="85"/>
  <c r="AM390" i="85"/>
  <c r="AN390" i="85"/>
  <c r="B390" i="85"/>
  <c r="C390" i="85"/>
  <c r="P390" i="85"/>
  <c r="S390" i="85"/>
  <c r="AG391" i="85"/>
  <c r="G391" i="85"/>
  <c r="AF391" i="85" a="1"/>
  <c r="AF391" i="85"/>
  <c r="AJ391" i="85"/>
  <c r="AL391" i="85"/>
  <c r="AK391" i="85"/>
  <c r="AM391" i="85"/>
  <c r="AN391" i="85"/>
  <c r="B391" i="85"/>
  <c r="C391" i="85"/>
  <c r="P391" i="85"/>
  <c r="S391" i="85"/>
  <c r="AG392" i="85"/>
  <c r="G392" i="85"/>
  <c r="AF392" i="85" a="1"/>
  <c r="AF392" i="85"/>
  <c r="AJ392" i="85"/>
  <c r="AL392" i="85"/>
  <c r="AK392" i="85"/>
  <c r="AM392" i="85"/>
  <c r="AN392" i="85"/>
  <c r="B392" i="85"/>
  <c r="C392" i="85"/>
  <c r="P392" i="85"/>
  <c r="S392" i="85"/>
  <c r="AG393" i="85"/>
  <c r="G393" i="85"/>
  <c r="AF393" i="85" a="1"/>
  <c r="AF393" i="85"/>
  <c r="AJ393" i="85"/>
  <c r="AL393" i="85"/>
  <c r="AK393" i="85"/>
  <c r="AM393" i="85"/>
  <c r="AN393" i="85"/>
  <c r="B393" i="85"/>
  <c r="C393" i="85"/>
  <c r="P393" i="85"/>
  <c r="S393" i="85"/>
  <c r="AG394" i="85"/>
  <c r="G394" i="85"/>
  <c r="AF394" i="85" a="1"/>
  <c r="AF394" i="85"/>
  <c r="AJ394" i="85"/>
  <c r="AL394" i="85"/>
  <c r="AK394" i="85"/>
  <c r="AM394" i="85"/>
  <c r="AN394" i="85"/>
  <c r="B394" i="85"/>
  <c r="C394" i="85"/>
  <c r="P394" i="85"/>
  <c r="S394" i="85"/>
  <c r="G395" i="85"/>
  <c r="J395" i="85"/>
  <c r="AG395" i="85"/>
  <c r="AF395" i="85" a="1"/>
  <c r="AF395" i="85"/>
  <c r="AJ395" i="85"/>
  <c r="AL395" i="85"/>
  <c r="AK395" i="85"/>
  <c r="AM395" i="85"/>
  <c r="AN395" i="85"/>
  <c r="B395" i="85"/>
  <c r="C395" i="85"/>
  <c r="P395" i="85"/>
  <c r="S395" i="85"/>
  <c r="AH396" i="85"/>
  <c r="G396" i="85"/>
  <c r="AF396" i="85" a="1"/>
  <c r="AF396" i="85"/>
  <c r="AJ396" i="85"/>
  <c r="AL396" i="85"/>
  <c r="AK396" i="85"/>
  <c r="AM396" i="85"/>
  <c r="AN396" i="85"/>
  <c r="B396" i="85"/>
  <c r="C396" i="85"/>
  <c r="P396" i="85"/>
  <c r="S396" i="85"/>
  <c r="AH397" i="85"/>
  <c r="G397" i="85"/>
  <c r="AF397" i="85" a="1"/>
  <c r="AF397" i="85"/>
  <c r="AJ397" i="85"/>
  <c r="AL397" i="85"/>
  <c r="AK397" i="85"/>
  <c r="AM397" i="85"/>
  <c r="AN397" i="85"/>
  <c r="B397" i="85"/>
  <c r="C397" i="85"/>
  <c r="P397" i="85"/>
  <c r="S397" i="85"/>
  <c r="AH398" i="85"/>
  <c r="G398" i="85"/>
  <c r="AF398" i="85" a="1"/>
  <c r="AF398" i="85"/>
  <c r="AJ398" i="85"/>
  <c r="AL398" i="85"/>
  <c r="AK398" i="85"/>
  <c r="AM398" i="85"/>
  <c r="AN398" i="85"/>
  <c r="B398" i="85"/>
  <c r="C398" i="85"/>
  <c r="P398" i="85"/>
  <c r="S398" i="85"/>
  <c r="AH399" i="85"/>
  <c r="G399" i="85"/>
  <c r="AF399" i="85" a="1"/>
  <c r="AF399" i="85"/>
  <c r="AJ399" i="85"/>
  <c r="AL399" i="85"/>
  <c r="AK399" i="85"/>
  <c r="AM399" i="85"/>
  <c r="AN399" i="85"/>
  <c r="B399" i="85"/>
  <c r="C399" i="85"/>
  <c r="P399" i="85"/>
  <c r="S399" i="85"/>
  <c r="AH400" i="85"/>
  <c r="G400" i="85"/>
  <c r="AF400" i="85" a="1"/>
  <c r="AF400" i="85"/>
  <c r="AJ400" i="85"/>
  <c r="AL400" i="85"/>
  <c r="AK400" i="85"/>
  <c r="AM400" i="85"/>
  <c r="AN400" i="85"/>
  <c r="B400" i="85"/>
  <c r="C400" i="85"/>
  <c r="P400" i="85"/>
  <c r="S400" i="85"/>
  <c r="AH401" i="85"/>
  <c r="G401" i="85"/>
  <c r="AF401" i="85" a="1"/>
  <c r="AF401" i="85"/>
  <c r="AJ401" i="85"/>
  <c r="AL401" i="85"/>
  <c r="AK401" i="85"/>
  <c r="AM401" i="85"/>
  <c r="AN401" i="85"/>
  <c r="B401" i="85"/>
  <c r="C401" i="85"/>
  <c r="P401" i="85"/>
  <c r="S401" i="85"/>
  <c r="AH402" i="85"/>
  <c r="G402" i="85"/>
  <c r="AF402" i="85" a="1"/>
  <c r="AF402" i="85"/>
  <c r="AJ402" i="85"/>
  <c r="AL402" i="85"/>
  <c r="AK402" i="85"/>
  <c r="AM402" i="85"/>
  <c r="AN402" i="85"/>
  <c r="B402" i="85"/>
  <c r="C402" i="85"/>
  <c r="P402" i="85"/>
  <c r="S402" i="85"/>
  <c r="AH403" i="85"/>
  <c r="G403" i="85"/>
  <c r="AF403" i="85" a="1"/>
  <c r="AF403" i="85"/>
  <c r="AJ403" i="85"/>
  <c r="AL403" i="85"/>
  <c r="AK403" i="85"/>
  <c r="AM403" i="85"/>
  <c r="AN403" i="85"/>
  <c r="B403" i="85"/>
  <c r="C403" i="85"/>
  <c r="P403" i="85"/>
  <c r="S403" i="85"/>
  <c r="AH404" i="85"/>
  <c r="G404" i="85"/>
  <c r="AF404" i="85" a="1"/>
  <c r="AF404" i="85"/>
  <c r="AJ404" i="85"/>
  <c r="AL404" i="85"/>
  <c r="AK404" i="85"/>
  <c r="AM404" i="85"/>
  <c r="AN404" i="85"/>
  <c r="B404" i="85"/>
  <c r="C404" i="85"/>
  <c r="P404" i="85"/>
  <c r="S404" i="85"/>
  <c r="AH405" i="85"/>
  <c r="G405" i="85"/>
  <c r="AF405" i="85" a="1"/>
  <c r="AF405" i="85"/>
  <c r="AJ405" i="85"/>
  <c r="AL405" i="85"/>
  <c r="AK405" i="85"/>
  <c r="AM405" i="85"/>
  <c r="AN405" i="85"/>
  <c r="B405" i="85"/>
  <c r="C405" i="85"/>
  <c r="P405" i="85"/>
  <c r="S405" i="85"/>
  <c r="G406" i="85"/>
  <c r="J406" i="85"/>
  <c r="AG406" i="85"/>
  <c r="AF406" i="85" a="1"/>
  <c r="AF406" i="85"/>
  <c r="AJ406" i="85"/>
  <c r="AL406" i="85"/>
  <c r="AK406" i="85"/>
  <c r="AM406" i="85"/>
  <c r="AN406" i="85"/>
  <c r="B406" i="85"/>
  <c r="C406" i="85"/>
  <c r="P406" i="85"/>
  <c r="S406" i="85"/>
  <c r="G407" i="85"/>
  <c r="J407" i="85"/>
  <c r="AG407" i="85"/>
  <c r="AF407" i="85" a="1"/>
  <c r="AF407" i="85"/>
  <c r="AJ407" i="85"/>
  <c r="AL407" i="85"/>
  <c r="AK407" i="85"/>
  <c r="AM407" i="85"/>
  <c r="AN407" i="85"/>
  <c r="B407" i="85"/>
  <c r="C407" i="85"/>
  <c r="P407" i="85"/>
  <c r="S407" i="85"/>
  <c r="G408" i="85"/>
  <c r="J408" i="85"/>
  <c r="AG408" i="85"/>
  <c r="AF408" i="85" a="1"/>
  <c r="AF408" i="85"/>
  <c r="AJ408" i="85"/>
  <c r="AL408" i="85"/>
  <c r="AK408" i="85"/>
  <c r="AM408" i="85"/>
  <c r="AN408" i="85"/>
  <c r="B408" i="85"/>
  <c r="C408" i="85"/>
  <c r="P408" i="85"/>
  <c r="S408" i="85"/>
  <c r="G409" i="85"/>
  <c r="J409" i="85"/>
  <c r="AG409" i="85"/>
  <c r="AF409" i="85" a="1"/>
  <c r="AF409" i="85"/>
  <c r="AJ409" i="85"/>
  <c r="AL409" i="85"/>
  <c r="AK409" i="85"/>
  <c r="AM409" i="85"/>
  <c r="AN409" i="85"/>
  <c r="B409" i="85"/>
  <c r="C409" i="85"/>
  <c r="P409" i="85"/>
  <c r="S409" i="85"/>
  <c r="G410" i="85"/>
  <c r="J410" i="85"/>
  <c r="AG410" i="85"/>
  <c r="AF410" i="85" a="1"/>
  <c r="AF410" i="85"/>
  <c r="AJ410" i="85"/>
  <c r="AL410" i="85"/>
  <c r="AK410" i="85"/>
  <c r="AM410" i="85"/>
  <c r="AN410" i="85"/>
  <c r="B410" i="85"/>
  <c r="C410" i="85"/>
  <c r="P410" i="85"/>
  <c r="S410" i="85"/>
  <c r="AD411" i="85"/>
  <c r="AG411" i="85"/>
  <c r="G411" i="85"/>
  <c r="AF411" i="85" a="1"/>
  <c r="AF411" i="85"/>
  <c r="AJ411" i="85"/>
  <c r="AL411" i="85"/>
  <c r="AK411" i="85"/>
  <c r="AM411" i="85"/>
  <c r="AN411" i="85"/>
  <c r="B411" i="85"/>
  <c r="C411" i="85"/>
  <c r="P411" i="85"/>
  <c r="S411" i="85"/>
  <c r="AD412" i="85"/>
  <c r="AG412" i="85"/>
  <c r="G412" i="85"/>
  <c r="AF412" i="85" a="1"/>
  <c r="AF412" i="85"/>
  <c r="AJ412" i="85"/>
  <c r="AL412" i="85"/>
  <c r="AK412" i="85"/>
  <c r="AM412" i="85"/>
  <c r="AN412" i="85"/>
  <c r="B412" i="85"/>
  <c r="C412" i="85"/>
  <c r="P412" i="85"/>
  <c r="S412" i="85"/>
  <c r="AD413" i="85"/>
  <c r="AG413" i="85"/>
  <c r="G413" i="85"/>
  <c r="AF413" i="85" a="1"/>
  <c r="AF413" i="85"/>
  <c r="AJ413" i="85"/>
  <c r="AL413" i="85"/>
  <c r="AK413" i="85"/>
  <c r="AM413" i="85"/>
  <c r="AN413" i="85"/>
  <c r="B413" i="85"/>
  <c r="C413" i="85"/>
  <c r="P413" i="85"/>
  <c r="S413" i="85"/>
  <c r="AD414" i="85"/>
  <c r="AG414" i="85"/>
  <c r="G414" i="85"/>
  <c r="AF414" i="85" a="1"/>
  <c r="AF414" i="85"/>
  <c r="AJ414" i="85"/>
  <c r="AL414" i="85"/>
  <c r="AK414" i="85"/>
  <c r="AM414" i="85"/>
  <c r="AN414" i="85"/>
  <c r="B414" i="85"/>
  <c r="C414" i="85"/>
  <c r="P414" i="85"/>
  <c r="S414" i="85"/>
  <c r="AD415" i="85"/>
  <c r="AG415" i="85"/>
  <c r="G415" i="85"/>
  <c r="AF415" i="85" a="1"/>
  <c r="AF415" i="85"/>
  <c r="AJ415" i="85"/>
  <c r="AL415" i="85"/>
  <c r="AK415" i="85"/>
  <c r="AM415" i="85"/>
  <c r="AN415" i="85"/>
  <c r="B415" i="85"/>
  <c r="C415" i="85"/>
  <c r="P415" i="85"/>
  <c r="S415" i="85"/>
  <c r="AD416" i="85"/>
  <c r="AG416" i="85"/>
  <c r="G416" i="85"/>
  <c r="AF416" i="85" a="1"/>
  <c r="AF416" i="85"/>
  <c r="AJ416" i="85"/>
  <c r="AL416" i="85"/>
  <c r="AK416" i="85"/>
  <c r="AM416" i="85"/>
  <c r="AN416" i="85"/>
  <c r="B416" i="85"/>
  <c r="C416" i="85"/>
  <c r="P416" i="85"/>
  <c r="S416" i="85"/>
  <c r="AD417" i="85"/>
  <c r="AG417" i="85"/>
  <c r="G417" i="85"/>
  <c r="AF417" i="85" a="1"/>
  <c r="AF417" i="85"/>
  <c r="AJ417" i="85"/>
  <c r="AL417" i="85"/>
  <c r="AK417" i="85"/>
  <c r="AM417" i="85"/>
  <c r="AN417" i="85"/>
  <c r="B417" i="85"/>
  <c r="C417" i="85"/>
  <c r="P417" i="85"/>
  <c r="S417" i="85"/>
  <c r="AD418" i="85"/>
  <c r="AG418" i="85"/>
  <c r="G418" i="85"/>
  <c r="AF418" i="85" a="1"/>
  <c r="AF418" i="85"/>
  <c r="AJ418" i="85"/>
  <c r="AL418" i="85"/>
  <c r="AK418" i="85"/>
  <c r="AM418" i="85"/>
  <c r="AN418" i="85"/>
  <c r="B418" i="85"/>
  <c r="C418" i="85"/>
  <c r="P418" i="85"/>
  <c r="S418" i="85"/>
  <c r="AD419" i="85"/>
  <c r="AG419" i="85"/>
  <c r="G419" i="85"/>
  <c r="AF419" i="85" a="1"/>
  <c r="AF419" i="85"/>
  <c r="AJ419" i="85"/>
  <c r="AL419" i="85"/>
  <c r="AK419" i="85"/>
  <c r="AM419" i="85"/>
  <c r="AN419" i="85"/>
  <c r="B419" i="85"/>
  <c r="C419" i="85"/>
  <c r="P419" i="85"/>
  <c r="S419" i="85"/>
  <c r="AD420" i="85"/>
  <c r="AG420" i="85"/>
  <c r="G420" i="85"/>
  <c r="AF420" i="85" a="1"/>
  <c r="AF420" i="85"/>
  <c r="AJ420" i="85"/>
  <c r="AL420" i="85"/>
  <c r="AK420" i="85"/>
  <c r="AM420" i="85"/>
  <c r="AN420" i="85"/>
  <c r="B420" i="85"/>
  <c r="C420" i="85"/>
  <c r="P420" i="85"/>
  <c r="S420" i="85"/>
  <c r="AD421" i="85"/>
  <c r="AG421" i="85"/>
  <c r="G421" i="85"/>
  <c r="AF421" i="85" a="1"/>
  <c r="AF421" i="85"/>
  <c r="AJ421" i="85"/>
  <c r="AL421" i="85"/>
  <c r="AK421" i="85"/>
  <c r="AM421" i="85"/>
  <c r="AN421" i="85"/>
  <c r="B421" i="85"/>
  <c r="C421" i="85"/>
  <c r="P421" i="85"/>
  <c r="S421" i="85"/>
  <c r="AD422" i="85"/>
  <c r="AG422" i="85"/>
  <c r="G422" i="85"/>
  <c r="AF422" i="85" a="1"/>
  <c r="AF422" i="85"/>
  <c r="AJ422" i="85"/>
  <c r="AL422" i="85"/>
  <c r="AK422" i="85"/>
  <c r="AM422" i="85"/>
  <c r="AN422" i="85"/>
  <c r="B422" i="85"/>
  <c r="C422" i="85"/>
  <c r="P422" i="85"/>
  <c r="S422" i="85"/>
  <c r="AD423" i="85"/>
  <c r="AG423" i="85"/>
  <c r="G423" i="85"/>
  <c r="AF423" i="85" a="1"/>
  <c r="AF423" i="85"/>
  <c r="AJ423" i="85"/>
  <c r="AL423" i="85"/>
  <c r="AK423" i="85"/>
  <c r="AM423" i="85"/>
  <c r="AN423" i="85"/>
  <c r="B423" i="85"/>
  <c r="C423" i="85"/>
  <c r="P423" i="85"/>
  <c r="S423" i="85"/>
  <c r="AD424" i="85"/>
  <c r="AG424" i="85"/>
  <c r="G424" i="85"/>
  <c r="AF424" i="85" a="1"/>
  <c r="AF424" i="85"/>
  <c r="AJ424" i="85"/>
  <c r="AL424" i="85"/>
  <c r="AK424" i="85"/>
  <c r="AM424" i="85"/>
  <c r="AN424" i="85"/>
  <c r="B424" i="85"/>
  <c r="C424" i="85"/>
  <c r="P424" i="85"/>
  <c r="S424" i="85"/>
  <c r="AD425" i="85"/>
  <c r="AG425" i="85"/>
  <c r="G425" i="85"/>
  <c r="AF425" i="85" a="1"/>
  <c r="AF425" i="85"/>
  <c r="AJ425" i="85"/>
  <c r="AL425" i="85"/>
  <c r="AK425" i="85"/>
  <c r="AM425" i="85"/>
  <c r="AN425" i="85"/>
  <c r="B425" i="85"/>
  <c r="C425" i="85"/>
  <c r="P425" i="85"/>
  <c r="S425" i="85"/>
  <c r="AD426" i="85"/>
  <c r="AG426" i="85"/>
  <c r="G426" i="85"/>
  <c r="AF426" i="85" a="1"/>
  <c r="AF426" i="85"/>
  <c r="AJ426" i="85"/>
  <c r="AL426" i="85"/>
  <c r="AK426" i="85"/>
  <c r="AM426" i="85"/>
  <c r="AN426" i="85"/>
  <c r="B426" i="85"/>
  <c r="C426" i="85"/>
  <c r="P426" i="85"/>
  <c r="S426" i="85"/>
  <c r="AD427" i="85"/>
  <c r="AG427" i="85"/>
  <c r="G427" i="85"/>
  <c r="AF427" i="85" a="1"/>
  <c r="AF427" i="85"/>
  <c r="AJ427" i="85"/>
  <c r="AL427" i="85"/>
  <c r="AK427" i="85"/>
  <c r="AM427" i="85"/>
  <c r="AN427" i="85"/>
  <c r="B427" i="85"/>
  <c r="C427" i="85"/>
  <c r="P427" i="85"/>
  <c r="S427" i="85"/>
  <c r="AD428" i="85"/>
  <c r="AG428" i="85"/>
  <c r="G428" i="85"/>
  <c r="AF428" i="85" a="1"/>
  <c r="AF428" i="85"/>
  <c r="AJ428" i="85"/>
  <c r="AL428" i="85"/>
  <c r="AK428" i="85"/>
  <c r="AM428" i="85"/>
  <c r="AN428" i="85"/>
  <c r="B428" i="85"/>
  <c r="C428" i="85"/>
  <c r="P428" i="85"/>
  <c r="S428" i="85"/>
  <c r="AD429" i="85"/>
  <c r="AG429" i="85"/>
  <c r="G429" i="85"/>
  <c r="AF429" i="85" a="1"/>
  <c r="AF429" i="85"/>
  <c r="AJ429" i="85"/>
  <c r="AL429" i="85"/>
  <c r="AK429" i="85"/>
  <c r="AM429" i="85"/>
  <c r="AN429" i="85"/>
  <c r="B429" i="85"/>
  <c r="C429" i="85"/>
  <c r="P429" i="85"/>
  <c r="S429" i="85"/>
  <c r="AD430" i="85"/>
  <c r="AG430" i="85"/>
  <c r="G430" i="85"/>
  <c r="AF430" i="85" a="1"/>
  <c r="AF430" i="85"/>
  <c r="AJ430" i="85"/>
  <c r="AL430" i="85"/>
  <c r="AK430" i="85"/>
  <c r="AM430" i="85"/>
  <c r="AN430" i="85"/>
  <c r="B430" i="85"/>
  <c r="C430" i="85"/>
  <c r="P430" i="85"/>
  <c r="S430" i="85"/>
  <c r="AD431" i="85"/>
  <c r="AG431" i="85"/>
  <c r="G431" i="85"/>
  <c r="AF431" i="85" a="1"/>
  <c r="AF431" i="85"/>
  <c r="AJ431" i="85"/>
  <c r="AL431" i="85"/>
  <c r="AK431" i="85"/>
  <c r="AM431" i="85"/>
  <c r="AN431" i="85"/>
  <c r="B431" i="85"/>
  <c r="C431" i="85"/>
  <c r="P431" i="85"/>
  <c r="S431" i="85"/>
  <c r="AD432" i="85"/>
  <c r="AG432" i="85"/>
  <c r="G432" i="85"/>
  <c r="AF432" i="85" a="1"/>
  <c r="AF432" i="85"/>
  <c r="AJ432" i="85"/>
  <c r="AL432" i="85"/>
  <c r="AK432" i="85"/>
  <c r="AM432" i="85"/>
  <c r="AN432" i="85"/>
  <c r="B432" i="85"/>
  <c r="C432" i="85"/>
  <c r="P432" i="85"/>
  <c r="S432" i="85"/>
  <c r="AD433" i="85"/>
  <c r="AG433" i="85"/>
  <c r="G433" i="85"/>
  <c r="AF433" i="85" a="1"/>
  <c r="AF433" i="85"/>
  <c r="AJ433" i="85"/>
  <c r="AL433" i="85"/>
  <c r="AK433" i="85"/>
  <c r="AM433" i="85"/>
  <c r="AN433" i="85"/>
  <c r="B433" i="85"/>
  <c r="C433" i="85"/>
  <c r="P433" i="85"/>
  <c r="S433" i="85"/>
  <c r="AD434" i="85"/>
  <c r="AG434" i="85"/>
  <c r="G434" i="85"/>
  <c r="AF434" i="85" a="1"/>
  <c r="AF434" i="85"/>
  <c r="AJ434" i="85"/>
  <c r="AL434" i="85"/>
  <c r="AK434" i="85"/>
  <c r="AM434" i="85"/>
  <c r="AN434" i="85"/>
  <c r="B434" i="85"/>
  <c r="C434" i="85"/>
  <c r="P434" i="85"/>
  <c r="S434" i="85"/>
  <c r="AD435" i="85"/>
  <c r="AG435" i="85"/>
  <c r="G435" i="85"/>
  <c r="AF435" i="85" a="1"/>
  <c r="AF435" i="85"/>
  <c r="AJ435" i="85"/>
  <c r="AL435" i="85"/>
  <c r="AK435" i="85"/>
  <c r="AM435" i="85"/>
  <c r="AN435" i="85"/>
  <c r="B435" i="85"/>
  <c r="C435" i="85"/>
  <c r="P435" i="85"/>
  <c r="S435" i="85"/>
  <c r="AD436" i="85"/>
  <c r="AG436" i="85"/>
  <c r="G436" i="85"/>
  <c r="AF436" i="85" a="1"/>
  <c r="AF436" i="85"/>
  <c r="AJ436" i="85"/>
  <c r="AL436" i="85"/>
  <c r="AK436" i="85"/>
  <c r="AM436" i="85"/>
  <c r="AN436" i="85"/>
  <c r="B436" i="85"/>
  <c r="C436" i="85"/>
  <c r="P436" i="85"/>
  <c r="S436" i="85"/>
  <c r="AD437" i="85"/>
  <c r="AG437" i="85"/>
  <c r="G437" i="85"/>
  <c r="AF437" i="85" a="1"/>
  <c r="AF437" i="85"/>
  <c r="AJ437" i="85"/>
  <c r="AL437" i="85"/>
  <c r="AK437" i="85"/>
  <c r="AM437" i="85"/>
  <c r="AN437" i="85"/>
  <c r="B437" i="85"/>
  <c r="C437" i="85"/>
  <c r="P437" i="85"/>
  <c r="S437" i="85"/>
  <c r="AD438" i="85"/>
  <c r="AG438" i="85"/>
  <c r="G438" i="85"/>
  <c r="AF438" i="85" a="1"/>
  <c r="AF438" i="85"/>
  <c r="AJ438" i="85"/>
  <c r="AL438" i="85"/>
  <c r="AK438" i="85"/>
  <c r="AM438" i="85"/>
  <c r="AN438" i="85"/>
  <c r="B438" i="85"/>
  <c r="C438" i="85"/>
  <c r="P438" i="85"/>
  <c r="S438" i="85"/>
  <c r="AD439" i="85"/>
  <c r="AG439" i="85"/>
  <c r="G439" i="85"/>
  <c r="AF439" i="85" a="1"/>
  <c r="AF439" i="85"/>
  <c r="AJ439" i="85"/>
  <c r="AL439" i="85"/>
  <c r="AK439" i="85"/>
  <c r="AM439" i="85"/>
  <c r="AN439" i="85"/>
  <c r="B439" i="85"/>
  <c r="C439" i="85"/>
  <c r="P439" i="85"/>
  <c r="S439" i="85"/>
  <c r="AD440" i="85"/>
  <c r="AG440" i="85"/>
  <c r="G440" i="85"/>
  <c r="AF440" i="85" a="1"/>
  <c r="AF440" i="85"/>
  <c r="AJ440" i="85"/>
  <c r="AL440" i="85"/>
  <c r="AK440" i="85"/>
  <c r="AM440" i="85"/>
  <c r="AN440" i="85"/>
  <c r="B440" i="85"/>
  <c r="C440" i="85"/>
  <c r="P440" i="85"/>
  <c r="S440" i="85"/>
  <c r="AD441" i="85"/>
  <c r="AG441" i="85"/>
  <c r="G441" i="85"/>
  <c r="AF441" i="85" a="1"/>
  <c r="AF441" i="85"/>
  <c r="AJ441" i="85"/>
  <c r="AL441" i="85"/>
  <c r="AK441" i="85"/>
  <c r="AM441" i="85"/>
  <c r="AN441" i="85"/>
  <c r="B441" i="85"/>
  <c r="C441" i="85"/>
  <c r="P441" i="85"/>
  <c r="S441" i="85"/>
  <c r="AD442" i="85"/>
  <c r="AG442" i="85"/>
  <c r="G442" i="85"/>
  <c r="AF442" i="85" a="1"/>
  <c r="AF442" i="85"/>
  <c r="AJ442" i="85"/>
  <c r="AL442" i="85"/>
  <c r="AK442" i="85"/>
  <c r="AM442" i="85"/>
  <c r="AN442" i="85"/>
  <c r="B442" i="85"/>
  <c r="C442" i="85"/>
  <c r="P442" i="85"/>
  <c r="S442" i="85"/>
  <c r="AD443" i="85"/>
  <c r="AG443" i="85"/>
  <c r="G443" i="85"/>
  <c r="AF443" i="85" a="1"/>
  <c r="AF443" i="85"/>
  <c r="AJ443" i="85"/>
  <c r="AL443" i="85"/>
  <c r="AK443" i="85"/>
  <c r="AM443" i="85"/>
  <c r="AN443" i="85"/>
  <c r="B443" i="85"/>
  <c r="C443" i="85"/>
  <c r="P443" i="85"/>
  <c r="S443" i="85"/>
  <c r="AD444" i="85"/>
  <c r="AG444" i="85"/>
  <c r="G444" i="85"/>
  <c r="AF444" i="85" a="1"/>
  <c r="AF444" i="85"/>
  <c r="AJ444" i="85"/>
  <c r="AL444" i="85"/>
  <c r="AK444" i="85"/>
  <c r="AM444" i="85"/>
  <c r="AN444" i="85"/>
  <c r="B444" i="85"/>
  <c r="C444" i="85"/>
  <c r="P444" i="85"/>
  <c r="S444" i="85"/>
  <c r="AD445" i="85"/>
  <c r="AG445" i="85"/>
  <c r="G445" i="85"/>
  <c r="AF445" i="85" a="1"/>
  <c r="AF445" i="85"/>
  <c r="AJ445" i="85"/>
  <c r="AL445" i="85"/>
  <c r="AK445" i="85"/>
  <c r="AM445" i="85"/>
  <c r="AN445" i="85"/>
  <c r="B445" i="85"/>
  <c r="C445" i="85"/>
  <c r="P445" i="85"/>
  <c r="S445" i="85"/>
  <c r="AD446" i="85"/>
  <c r="AG446" i="85"/>
  <c r="G446" i="85"/>
  <c r="AF446" i="85" a="1"/>
  <c r="AF446" i="85"/>
  <c r="AJ446" i="85"/>
  <c r="AL446" i="85"/>
  <c r="AK446" i="85"/>
  <c r="AM446" i="85"/>
  <c r="AN446" i="85"/>
  <c r="B446" i="85"/>
  <c r="C446" i="85"/>
  <c r="P446" i="85"/>
  <c r="S446" i="85"/>
  <c r="AD447" i="85"/>
  <c r="AG447" i="85"/>
  <c r="G447" i="85"/>
  <c r="AF447" i="85" a="1"/>
  <c r="AF447" i="85"/>
  <c r="AJ447" i="85"/>
  <c r="AL447" i="85"/>
  <c r="AK447" i="85"/>
  <c r="AM447" i="85"/>
  <c r="AN447" i="85"/>
  <c r="B447" i="85"/>
  <c r="C447" i="85"/>
  <c r="P447" i="85"/>
  <c r="S447" i="85"/>
  <c r="AD448" i="85"/>
  <c r="AG448" i="85"/>
  <c r="G448" i="85"/>
  <c r="AF448" i="85" a="1"/>
  <c r="AF448" i="85"/>
  <c r="AJ448" i="85"/>
  <c r="AL448" i="85"/>
  <c r="AK448" i="85"/>
  <c r="AM448" i="85"/>
  <c r="AN448" i="85"/>
  <c r="B448" i="85"/>
  <c r="C448" i="85"/>
  <c r="P448" i="85"/>
  <c r="S448" i="85"/>
  <c r="AD449" i="85"/>
  <c r="AG449" i="85"/>
  <c r="G449" i="85"/>
  <c r="AF449" i="85" a="1"/>
  <c r="AF449" i="85"/>
  <c r="AJ449" i="85"/>
  <c r="AL449" i="85"/>
  <c r="AK449" i="85"/>
  <c r="AM449" i="85"/>
  <c r="AN449" i="85"/>
  <c r="B449" i="85"/>
  <c r="C449" i="85"/>
  <c r="P449" i="85"/>
  <c r="S449" i="85"/>
  <c r="AD450" i="85"/>
  <c r="AG450" i="85"/>
  <c r="G450" i="85"/>
  <c r="AF450" i="85" a="1"/>
  <c r="AF450" i="85"/>
  <c r="AJ450" i="85"/>
  <c r="AL450" i="85"/>
  <c r="AK450" i="85"/>
  <c r="AM450" i="85"/>
  <c r="AN450" i="85"/>
  <c r="B450" i="85"/>
  <c r="C450" i="85"/>
  <c r="P450" i="85"/>
  <c r="S450" i="85"/>
  <c r="AD451" i="85"/>
  <c r="AG451" i="85"/>
  <c r="G451" i="85"/>
  <c r="AF451" i="85" a="1"/>
  <c r="AF451" i="85"/>
  <c r="AJ451" i="85"/>
  <c r="AL451" i="85"/>
  <c r="AK451" i="85"/>
  <c r="AM451" i="85"/>
  <c r="AN451" i="85"/>
  <c r="B451" i="85"/>
  <c r="C451" i="85"/>
  <c r="P451" i="85"/>
  <c r="S451" i="85"/>
  <c r="AD452" i="85"/>
  <c r="AG452" i="85"/>
  <c r="G452" i="85"/>
  <c r="AF452" i="85" a="1"/>
  <c r="AF452" i="85"/>
  <c r="AJ452" i="85"/>
  <c r="AL452" i="85"/>
  <c r="AK452" i="85"/>
  <c r="AM452" i="85"/>
  <c r="AN452" i="85"/>
  <c r="B452" i="85"/>
  <c r="C452" i="85"/>
  <c r="P452" i="85"/>
  <c r="S452" i="85"/>
  <c r="AD453" i="85"/>
  <c r="AG453" i="85"/>
  <c r="G453" i="85"/>
  <c r="AF453" i="85" a="1"/>
  <c r="AF453" i="85"/>
  <c r="AJ453" i="85"/>
  <c r="AL453" i="85"/>
  <c r="AK453" i="85"/>
  <c r="AM453" i="85"/>
  <c r="AN453" i="85"/>
  <c r="B453" i="85"/>
  <c r="C453" i="85"/>
  <c r="P453" i="85"/>
  <c r="S453" i="85"/>
  <c r="AD454" i="85"/>
  <c r="AG454" i="85"/>
  <c r="G454" i="85"/>
  <c r="AF454" i="85" a="1"/>
  <c r="AF454" i="85"/>
  <c r="AJ454" i="85"/>
  <c r="AL454" i="85"/>
  <c r="AK454" i="85"/>
  <c r="AM454" i="85"/>
  <c r="AN454" i="85"/>
  <c r="B454" i="85"/>
  <c r="C454" i="85"/>
  <c r="P454" i="85"/>
  <c r="S454" i="85"/>
  <c r="AD455" i="85"/>
  <c r="AG455" i="85"/>
  <c r="G455" i="85"/>
  <c r="AF455" i="85" a="1"/>
  <c r="AF455" i="85"/>
  <c r="AJ455" i="85"/>
  <c r="AL455" i="85"/>
  <c r="AK455" i="85"/>
  <c r="AM455" i="85"/>
  <c r="AN455" i="85"/>
  <c r="B455" i="85"/>
  <c r="C455" i="85"/>
  <c r="P455" i="85"/>
  <c r="S455" i="85"/>
  <c r="AD456" i="85"/>
  <c r="AG456" i="85"/>
  <c r="G456" i="85"/>
  <c r="AF456" i="85" a="1"/>
  <c r="AF456" i="85"/>
  <c r="AJ456" i="85"/>
  <c r="AL456" i="85"/>
  <c r="AK456" i="85"/>
  <c r="AM456" i="85"/>
  <c r="AN456" i="85"/>
  <c r="B456" i="85"/>
  <c r="C456" i="85"/>
  <c r="P456" i="85"/>
  <c r="S456" i="85"/>
  <c r="AD457" i="85"/>
  <c r="AG457" i="85"/>
  <c r="G457" i="85"/>
  <c r="AF457" i="85" a="1"/>
  <c r="AF457" i="85"/>
  <c r="AJ457" i="85"/>
  <c r="AL457" i="85"/>
  <c r="AK457" i="85"/>
  <c r="AM457" i="85"/>
  <c r="AN457" i="85"/>
  <c r="B457" i="85"/>
  <c r="C457" i="85"/>
  <c r="P457" i="85"/>
  <c r="S457" i="85"/>
  <c r="AD458" i="85"/>
  <c r="AG458" i="85"/>
  <c r="G458" i="85"/>
  <c r="AF458" i="85" a="1"/>
  <c r="AF458" i="85"/>
  <c r="AJ458" i="85"/>
  <c r="AL458" i="85"/>
  <c r="AK458" i="85"/>
  <c r="AM458" i="85"/>
  <c r="AN458" i="85"/>
  <c r="B458" i="85"/>
  <c r="C458" i="85"/>
  <c r="P458" i="85"/>
  <c r="S458" i="85"/>
  <c r="AD459" i="85"/>
  <c r="AG459" i="85"/>
  <c r="G459" i="85"/>
  <c r="AF459" i="85" a="1"/>
  <c r="AF459" i="85"/>
  <c r="AJ459" i="85"/>
  <c r="AL459" i="85"/>
  <c r="AK459" i="85"/>
  <c r="AM459" i="85"/>
  <c r="AN459" i="85"/>
  <c r="B459" i="85"/>
  <c r="C459" i="85"/>
  <c r="P459" i="85"/>
  <c r="S459" i="85"/>
  <c r="AD460" i="85"/>
  <c r="AG460" i="85"/>
  <c r="G460" i="85"/>
  <c r="AF460" i="85" a="1"/>
  <c r="AF460" i="85"/>
  <c r="AJ460" i="85"/>
  <c r="AL460" i="85"/>
  <c r="AK460" i="85"/>
  <c r="AM460" i="85"/>
  <c r="AN460" i="85"/>
  <c r="B460" i="85"/>
  <c r="C460" i="85"/>
  <c r="P460" i="85"/>
  <c r="S460" i="85"/>
  <c r="AD461" i="85"/>
  <c r="AG461" i="85"/>
  <c r="G461" i="85"/>
  <c r="AF461" i="85" a="1"/>
  <c r="AF461" i="85"/>
  <c r="AJ461" i="85"/>
  <c r="AL461" i="85"/>
  <c r="AK461" i="85"/>
  <c r="AM461" i="85"/>
  <c r="AN461" i="85"/>
  <c r="B461" i="85"/>
  <c r="C461" i="85"/>
  <c r="P461" i="85"/>
  <c r="S461" i="85"/>
  <c r="AD462" i="85"/>
  <c r="AG462" i="85"/>
  <c r="G462" i="85"/>
  <c r="AF462" i="85" a="1"/>
  <c r="AF462" i="85"/>
  <c r="AJ462" i="85"/>
  <c r="AL462" i="85"/>
  <c r="AK462" i="85"/>
  <c r="AM462" i="85"/>
  <c r="AN462" i="85"/>
  <c r="B462" i="85"/>
  <c r="C462" i="85"/>
  <c r="P462" i="85"/>
  <c r="S462" i="85"/>
  <c r="AD463" i="85"/>
  <c r="AG463" i="85"/>
  <c r="G463" i="85"/>
  <c r="AF463" i="85" a="1"/>
  <c r="AF463" i="85"/>
  <c r="AJ463" i="85"/>
  <c r="AL463" i="85"/>
  <c r="AK463" i="85"/>
  <c r="AM463" i="85"/>
  <c r="AN463" i="85"/>
  <c r="B463" i="85"/>
  <c r="C463" i="85"/>
  <c r="P463" i="85"/>
  <c r="S463" i="85"/>
  <c r="AD464" i="85"/>
  <c r="AG464" i="85"/>
  <c r="G464" i="85"/>
  <c r="AF464" i="85" a="1"/>
  <c r="AF464" i="85"/>
  <c r="AJ464" i="85"/>
  <c r="AL464" i="85"/>
  <c r="AK464" i="85"/>
  <c r="AM464" i="85"/>
  <c r="AN464" i="85"/>
  <c r="B464" i="85"/>
  <c r="C464" i="85"/>
  <c r="P464" i="85"/>
  <c r="S464" i="85"/>
  <c r="AD465" i="85"/>
  <c r="AG465" i="85"/>
  <c r="G465" i="85"/>
  <c r="AF465" i="85" a="1"/>
  <c r="AF465" i="85"/>
  <c r="AJ465" i="85"/>
  <c r="AL465" i="85"/>
  <c r="AK465" i="85"/>
  <c r="AM465" i="85"/>
  <c r="AN465" i="85"/>
  <c r="B465" i="85"/>
  <c r="C465" i="85"/>
  <c r="P465" i="85"/>
  <c r="S465" i="85"/>
  <c r="AD466" i="85"/>
  <c r="AG466" i="85"/>
  <c r="G466" i="85"/>
  <c r="AF466" i="85" a="1"/>
  <c r="AF466" i="85"/>
  <c r="AJ466" i="85"/>
  <c r="AL466" i="85"/>
  <c r="AK466" i="85"/>
  <c r="AM466" i="85"/>
  <c r="AN466" i="85"/>
  <c r="B466" i="85"/>
  <c r="C466" i="85"/>
  <c r="P466" i="85"/>
  <c r="S466" i="85"/>
  <c r="AD467" i="85"/>
  <c r="AG467" i="85"/>
  <c r="G467" i="85"/>
  <c r="AF467" i="85" a="1"/>
  <c r="AF467" i="85"/>
  <c r="AJ467" i="85"/>
  <c r="AL467" i="85"/>
  <c r="AK467" i="85"/>
  <c r="AM467" i="85"/>
  <c r="AN467" i="85"/>
  <c r="B467" i="85"/>
  <c r="C467" i="85"/>
  <c r="P467" i="85"/>
  <c r="S467" i="85"/>
  <c r="AD468" i="85"/>
  <c r="AG468" i="85"/>
  <c r="G468" i="85"/>
  <c r="AF468" i="85" a="1"/>
  <c r="AF468" i="85"/>
  <c r="AJ468" i="85"/>
  <c r="AL468" i="85"/>
  <c r="AK468" i="85"/>
  <c r="AM468" i="85"/>
  <c r="AN468" i="85"/>
  <c r="B468" i="85"/>
  <c r="C468" i="85"/>
  <c r="P468" i="85"/>
  <c r="S468" i="85"/>
  <c r="AD469" i="85"/>
  <c r="AG469" i="85"/>
  <c r="G469" i="85"/>
  <c r="AF469" i="85" a="1"/>
  <c r="AF469" i="85"/>
  <c r="AJ469" i="85"/>
  <c r="AL469" i="85"/>
  <c r="AK469" i="85"/>
  <c r="AM469" i="85"/>
  <c r="AN469" i="85"/>
  <c r="B469" i="85"/>
  <c r="C469" i="85"/>
  <c r="P469" i="85"/>
  <c r="S469" i="85"/>
  <c r="AD470" i="85"/>
  <c r="AG470" i="85"/>
  <c r="G470" i="85"/>
  <c r="AF470" i="85" a="1"/>
  <c r="AF470" i="85"/>
  <c r="AJ470" i="85"/>
  <c r="AL470" i="85"/>
  <c r="AK470" i="85"/>
  <c r="AM470" i="85"/>
  <c r="AN470" i="85"/>
  <c r="B470" i="85"/>
  <c r="C470" i="85"/>
  <c r="P470" i="85"/>
  <c r="S470" i="85"/>
  <c r="AD471" i="85"/>
  <c r="AG471" i="85"/>
  <c r="G471" i="85"/>
  <c r="AF471" i="85" a="1"/>
  <c r="AF471" i="85"/>
  <c r="AJ471" i="85"/>
  <c r="AL471" i="85"/>
  <c r="AK471" i="85"/>
  <c r="AM471" i="85"/>
  <c r="AN471" i="85"/>
  <c r="B471" i="85"/>
  <c r="C471" i="85"/>
  <c r="P471" i="85"/>
  <c r="S471" i="85"/>
  <c r="AD472" i="85"/>
  <c r="AG472" i="85"/>
  <c r="G472" i="85"/>
  <c r="AF472" i="85" a="1"/>
  <c r="AF472" i="85"/>
  <c r="AJ472" i="85"/>
  <c r="AL472" i="85"/>
  <c r="AK472" i="85"/>
  <c r="AM472" i="85"/>
  <c r="AN472" i="85"/>
  <c r="B472" i="85"/>
  <c r="C472" i="85"/>
  <c r="P472" i="85"/>
  <c r="S472" i="85"/>
  <c r="AD473" i="85"/>
  <c r="AG473" i="85"/>
  <c r="G473" i="85"/>
  <c r="AF473" i="85" a="1"/>
  <c r="AF473" i="85"/>
  <c r="AJ473" i="85"/>
  <c r="AL473" i="85"/>
  <c r="AK473" i="85"/>
  <c r="AM473" i="85"/>
  <c r="AN473" i="85"/>
  <c r="B473" i="85"/>
  <c r="C473" i="85"/>
  <c r="P473" i="85"/>
  <c r="S473" i="85"/>
  <c r="AD474" i="85"/>
  <c r="AG474" i="85"/>
  <c r="G474" i="85"/>
  <c r="AF474" i="85" a="1"/>
  <c r="AF474" i="85"/>
  <c r="AJ474" i="85"/>
  <c r="AL474" i="85"/>
  <c r="AK474" i="85"/>
  <c r="AM474" i="85"/>
  <c r="AN474" i="85"/>
  <c r="B474" i="85"/>
  <c r="C474" i="85"/>
  <c r="P474" i="85"/>
  <c r="S474" i="85"/>
  <c r="AD475" i="85"/>
  <c r="AG475" i="85"/>
  <c r="G475" i="85"/>
  <c r="AF475" i="85" a="1"/>
  <c r="AF475" i="85"/>
  <c r="AJ475" i="85"/>
  <c r="AL475" i="85"/>
  <c r="AK475" i="85"/>
  <c r="AM475" i="85"/>
  <c r="AN475" i="85"/>
  <c r="B475" i="85"/>
  <c r="C475" i="85"/>
  <c r="P475" i="85"/>
  <c r="S475" i="85"/>
  <c r="AD476" i="85"/>
  <c r="AG476" i="85"/>
  <c r="G476" i="85"/>
  <c r="AF476" i="85" a="1"/>
  <c r="AF476" i="85"/>
  <c r="AJ476" i="85"/>
  <c r="AL476" i="85"/>
  <c r="AK476" i="85"/>
  <c r="AM476" i="85"/>
  <c r="AN476" i="85"/>
  <c r="B476" i="85"/>
  <c r="C476" i="85"/>
  <c r="P476" i="85"/>
  <c r="S476" i="85"/>
  <c r="AD477" i="85"/>
  <c r="AG477" i="85"/>
  <c r="G477" i="85"/>
  <c r="AF477" i="85" a="1"/>
  <c r="AF477" i="85"/>
  <c r="AJ477" i="85"/>
  <c r="AL477" i="85"/>
  <c r="AK477" i="85"/>
  <c r="AM477" i="85"/>
  <c r="AN477" i="85"/>
  <c r="B477" i="85"/>
  <c r="C477" i="85"/>
  <c r="P477" i="85"/>
  <c r="S477" i="85"/>
  <c r="AD478" i="85"/>
  <c r="AG478" i="85"/>
  <c r="G478" i="85"/>
  <c r="AF478" i="85" a="1"/>
  <c r="AF478" i="85"/>
  <c r="AJ478" i="85"/>
  <c r="AL478" i="85"/>
  <c r="AK478" i="85"/>
  <c r="AM478" i="85"/>
  <c r="AN478" i="85"/>
  <c r="B478" i="85"/>
  <c r="C478" i="85"/>
  <c r="P478" i="85"/>
  <c r="S478" i="85"/>
  <c r="AD479" i="85"/>
  <c r="AG479" i="85"/>
  <c r="G479" i="85"/>
  <c r="AF479" i="85" a="1"/>
  <c r="AF479" i="85"/>
  <c r="AJ479" i="85"/>
  <c r="AL479" i="85"/>
  <c r="AK479" i="85"/>
  <c r="AM479" i="85"/>
  <c r="AN479" i="85"/>
  <c r="B479" i="85"/>
  <c r="C479" i="85"/>
  <c r="P479" i="85"/>
  <c r="S479" i="85"/>
  <c r="AD480" i="85"/>
  <c r="AG480" i="85"/>
  <c r="G480" i="85"/>
  <c r="AF480" i="85" a="1"/>
  <c r="AF480" i="85"/>
  <c r="AJ480" i="85"/>
  <c r="AL480" i="85"/>
  <c r="AK480" i="85"/>
  <c r="AM480" i="85"/>
  <c r="AN480" i="85"/>
  <c r="B480" i="85"/>
  <c r="C480" i="85"/>
  <c r="P480" i="85"/>
  <c r="S480" i="85"/>
  <c r="AD481" i="85"/>
  <c r="AG481" i="85"/>
  <c r="G481" i="85"/>
  <c r="AF481" i="85" a="1"/>
  <c r="AF481" i="85"/>
  <c r="AJ481" i="85"/>
  <c r="AL481" i="85"/>
  <c r="AK481" i="85"/>
  <c r="AM481" i="85"/>
  <c r="AN481" i="85"/>
  <c r="B481" i="85"/>
  <c r="C481" i="85"/>
  <c r="P481" i="85"/>
  <c r="S481" i="85"/>
  <c r="AD482" i="85"/>
  <c r="AG482" i="85"/>
  <c r="G482" i="85"/>
  <c r="AF482" i="85" a="1"/>
  <c r="AF482" i="85"/>
  <c r="AJ482" i="85"/>
  <c r="AL482" i="85"/>
  <c r="AK482" i="85"/>
  <c r="AM482" i="85"/>
  <c r="AN482" i="85"/>
  <c r="B482" i="85"/>
  <c r="C482" i="85"/>
  <c r="P482" i="85"/>
  <c r="S482" i="85"/>
  <c r="AD483" i="85"/>
  <c r="AG483" i="85"/>
  <c r="G483" i="85"/>
  <c r="AF483" i="85" a="1"/>
  <c r="AF483" i="85"/>
  <c r="AJ483" i="85"/>
  <c r="AL483" i="85"/>
  <c r="AK483" i="85"/>
  <c r="AM483" i="85"/>
  <c r="AN483" i="85"/>
  <c r="B483" i="85"/>
  <c r="C483" i="85"/>
  <c r="P483" i="85"/>
  <c r="S483" i="85"/>
  <c r="AD484" i="85"/>
  <c r="AG484" i="85"/>
  <c r="G484" i="85"/>
  <c r="AF484" i="85" a="1"/>
  <c r="AF484" i="85"/>
  <c r="AJ484" i="85"/>
  <c r="AL484" i="85"/>
  <c r="AK484" i="85"/>
  <c r="AM484" i="85"/>
  <c r="AN484" i="85"/>
  <c r="B484" i="85"/>
  <c r="C484" i="85"/>
  <c r="P484" i="85"/>
  <c r="S484" i="85"/>
  <c r="AD485" i="85"/>
  <c r="AG485" i="85"/>
  <c r="G485" i="85"/>
  <c r="AF485" i="85" a="1"/>
  <c r="AF485" i="85"/>
  <c r="AJ485" i="85"/>
  <c r="AL485" i="85"/>
  <c r="AK485" i="85"/>
  <c r="AM485" i="85"/>
  <c r="AN485" i="85"/>
  <c r="B485" i="85"/>
  <c r="C485" i="85"/>
  <c r="P485" i="85"/>
  <c r="S485" i="85"/>
  <c r="AD486" i="85"/>
  <c r="AG486" i="85"/>
  <c r="G486" i="85"/>
  <c r="AF486" i="85" a="1"/>
  <c r="AF486" i="85"/>
  <c r="AJ486" i="85"/>
  <c r="AL486" i="85"/>
  <c r="AK486" i="85"/>
  <c r="AM486" i="85"/>
  <c r="AN486" i="85"/>
  <c r="B486" i="85"/>
  <c r="C486" i="85"/>
  <c r="P486" i="85"/>
  <c r="S486" i="85"/>
  <c r="AD487" i="85"/>
  <c r="AG487" i="85"/>
  <c r="G487" i="85"/>
  <c r="AF487" i="85" a="1"/>
  <c r="AF487" i="85"/>
  <c r="AJ487" i="85"/>
  <c r="AL487" i="85"/>
  <c r="AK487" i="85"/>
  <c r="AM487" i="85"/>
  <c r="AN487" i="85"/>
  <c r="B487" i="85"/>
  <c r="C487" i="85"/>
  <c r="P487" i="85"/>
  <c r="S487" i="85"/>
  <c r="AD488" i="85"/>
  <c r="AG488" i="85"/>
  <c r="G488" i="85"/>
  <c r="AF488" i="85" a="1"/>
  <c r="AF488" i="85"/>
  <c r="AJ488" i="85"/>
  <c r="AL488" i="85"/>
  <c r="AK488" i="85"/>
  <c r="AM488" i="85"/>
  <c r="AN488" i="85"/>
  <c r="B488" i="85"/>
  <c r="C488" i="85"/>
  <c r="P488" i="85"/>
  <c r="S488" i="85"/>
  <c r="AD489" i="85"/>
  <c r="AG489" i="85"/>
  <c r="G489" i="85"/>
  <c r="AF489" i="85" a="1"/>
  <c r="AF489" i="85"/>
  <c r="AJ489" i="85"/>
  <c r="AL489" i="85"/>
  <c r="AK489" i="85"/>
  <c r="AM489" i="85"/>
  <c r="AN489" i="85"/>
  <c r="B489" i="85"/>
  <c r="C489" i="85"/>
  <c r="P489" i="85"/>
  <c r="S489" i="85"/>
  <c r="AD490" i="85"/>
  <c r="AG490" i="85"/>
  <c r="G490" i="85"/>
  <c r="AF490" i="85" a="1"/>
  <c r="AF490" i="85"/>
  <c r="AJ490" i="85"/>
  <c r="AL490" i="85"/>
  <c r="AK490" i="85"/>
  <c r="AM490" i="85"/>
  <c r="AN490" i="85"/>
  <c r="B490" i="85"/>
  <c r="C490" i="85"/>
  <c r="P490" i="85"/>
  <c r="S490" i="85"/>
  <c r="AD491" i="85"/>
  <c r="AG491" i="85"/>
  <c r="G491" i="85"/>
  <c r="AF491" i="85" a="1"/>
  <c r="AF491" i="85"/>
  <c r="AJ491" i="85"/>
  <c r="AL491" i="85"/>
  <c r="AK491" i="85"/>
  <c r="AM491" i="85"/>
  <c r="AN491" i="85"/>
  <c r="B491" i="85"/>
  <c r="C491" i="85"/>
  <c r="P491" i="85"/>
  <c r="S491" i="85"/>
  <c r="AD492" i="85"/>
  <c r="AG492" i="85"/>
  <c r="G492" i="85"/>
  <c r="AF492" i="85" a="1"/>
  <c r="AF492" i="85"/>
  <c r="AJ492" i="85"/>
  <c r="AL492" i="85"/>
  <c r="AK492" i="85"/>
  <c r="AM492" i="85"/>
  <c r="AN492" i="85"/>
  <c r="B492" i="85"/>
  <c r="C492" i="85"/>
  <c r="P492" i="85"/>
  <c r="S492" i="85"/>
  <c r="AD493" i="85"/>
  <c r="AG493" i="85"/>
  <c r="G493" i="85"/>
  <c r="AF493" i="85" a="1"/>
  <c r="AF493" i="85"/>
  <c r="AJ493" i="85"/>
  <c r="AL493" i="85"/>
  <c r="AK493" i="85"/>
  <c r="AM493" i="85"/>
  <c r="AN493" i="85"/>
  <c r="B493" i="85"/>
  <c r="C493" i="85"/>
  <c r="P493" i="85"/>
  <c r="S493" i="85"/>
  <c r="AD494" i="85"/>
  <c r="AG494" i="85"/>
  <c r="G494" i="85"/>
  <c r="AF494" i="85" a="1"/>
  <c r="AF494" i="85"/>
  <c r="AJ494" i="85"/>
  <c r="AL494" i="85"/>
  <c r="AK494" i="85"/>
  <c r="AM494" i="85"/>
  <c r="AN494" i="85"/>
  <c r="B494" i="85"/>
  <c r="C494" i="85"/>
  <c r="P494" i="85"/>
  <c r="S494" i="85"/>
  <c r="AD495" i="85"/>
  <c r="AG495" i="85"/>
  <c r="G495" i="85"/>
  <c r="AF495" i="85" a="1"/>
  <c r="AF495" i="85"/>
  <c r="AJ495" i="85"/>
  <c r="AL495" i="85"/>
  <c r="AK495" i="85"/>
  <c r="AM495" i="85"/>
  <c r="AN495" i="85"/>
  <c r="B495" i="85"/>
  <c r="C495" i="85"/>
  <c r="P495" i="85"/>
  <c r="S495" i="85"/>
  <c r="AD496" i="85"/>
  <c r="AG496" i="85"/>
  <c r="G496" i="85"/>
  <c r="AF496" i="85" a="1"/>
  <c r="AF496" i="85"/>
  <c r="AJ496" i="85"/>
  <c r="AL496" i="85"/>
  <c r="AK496" i="85"/>
  <c r="AM496" i="85"/>
  <c r="AN496" i="85"/>
  <c r="B496" i="85"/>
  <c r="C496" i="85"/>
  <c r="P496" i="85"/>
  <c r="S496" i="85"/>
  <c r="AD497" i="85"/>
  <c r="AG497" i="85"/>
  <c r="G497" i="85"/>
  <c r="AF497" i="85" a="1"/>
  <c r="AF497" i="85"/>
  <c r="AJ497" i="85"/>
  <c r="AL497" i="85"/>
  <c r="AK497" i="85"/>
  <c r="AM497" i="85"/>
  <c r="AN497" i="85"/>
  <c r="B497" i="85"/>
  <c r="C497" i="85"/>
  <c r="P497" i="85"/>
  <c r="S497" i="85"/>
  <c r="AD498" i="85"/>
  <c r="AG498" i="85"/>
  <c r="G498" i="85"/>
  <c r="AF498" i="85" a="1"/>
  <c r="AF498" i="85"/>
  <c r="AJ498" i="85"/>
  <c r="AL498" i="85"/>
  <c r="AK498" i="85"/>
  <c r="AM498" i="85"/>
  <c r="AN498" i="85"/>
  <c r="B498" i="85"/>
  <c r="C498" i="85"/>
  <c r="P498" i="85"/>
  <c r="S498" i="85"/>
  <c r="AD499" i="85"/>
  <c r="AG499" i="85"/>
  <c r="G499" i="85"/>
  <c r="AF499" i="85" a="1"/>
  <c r="AF499" i="85"/>
  <c r="AJ499" i="85"/>
  <c r="AL499" i="85"/>
  <c r="AK499" i="85"/>
  <c r="AM499" i="85"/>
  <c r="AN499" i="85"/>
  <c r="B499" i="85"/>
  <c r="C499" i="85"/>
  <c r="P499" i="85"/>
  <c r="S499" i="85"/>
  <c r="AD500" i="85"/>
  <c r="AG500" i="85"/>
  <c r="G500" i="85"/>
  <c r="AF500" i="85" a="1"/>
  <c r="AF500" i="85"/>
  <c r="AJ500" i="85"/>
  <c r="AL500" i="85"/>
  <c r="AK500" i="85"/>
  <c r="AM500" i="85"/>
  <c r="AN500" i="85"/>
  <c r="B500" i="85"/>
  <c r="C500" i="85"/>
  <c r="P500" i="85"/>
  <c r="S500" i="85"/>
  <c r="AD501" i="85"/>
  <c r="AG501" i="85"/>
  <c r="G501" i="85"/>
  <c r="AF501" i="85" a="1"/>
  <c r="AF501" i="85"/>
  <c r="AJ501" i="85"/>
  <c r="AL501" i="85"/>
  <c r="AK501" i="85"/>
  <c r="AM501" i="85"/>
  <c r="AN501" i="85"/>
  <c r="B501" i="85"/>
  <c r="C501" i="85"/>
  <c r="P501" i="85"/>
  <c r="S501" i="85"/>
  <c r="AD502" i="85"/>
  <c r="AG502" i="85"/>
  <c r="G502" i="85"/>
  <c r="AF502" i="85" a="1"/>
  <c r="AF502" i="85"/>
  <c r="AJ502" i="85"/>
  <c r="AL502" i="85"/>
  <c r="AK502" i="85"/>
  <c r="AM502" i="85"/>
  <c r="AN502" i="85"/>
  <c r="B502" i="85"/>
  <c r="C502" i="85"/>
  <c r="P502" i="85"/>
  <c r="S502" i="85"/>
  <c r="AD503" i="85"/>
  <c r="AG503" i="85"/>
  <c r="G503" i="85"/>
  <c r="AF503" i="85" a="1"/>
  <c r="AF503" i="85"/>
  <c r="AJ503" i="85"/>
  <c r="AL503" i="85"/>
  <c r="AK503" i="85"/>
  <c r="AM503" i="85"/>
  <c r="AN503" i="85"/>
  <c r="B503" i="85"/>
  <c r="C503" i="85"/>
  <c r="P503" i="85"/>
  <c r="S503" i="85"/>
  <c r="AD504" i="85"/>
  <c r="AG504" i="85"/>
  <c r="G504" i="85"/>
  <c r="AF504" i="85" a="1"/>
  <c r="AF504" i="85"/>
  <c r="AJ504" i="85"/>
  <c r="AL504" i="85"/>
  <c r="AK504" i="85"/>
  <c r="AM504" i="85"/>
  <c r="AN504" i="85"/>
  <c r="B504" i="85"/>
  <c r="C504" i="85"/>
  <c r="P504" i="85"/>
  <c r="S504" i="85"/>
  <c r="AD505" i="85"/>
  <c r="AG505" i="85"/>
  <c r="G505" i="85"/>
  <c r="AF505" i="85" a="1"/>
  <c r="AF505" i="85"/>
  <c r="AJ505" i="85"/>
  <c r="AL505" i="85"/>
  <c r="AK505" i="85"/>
  <c r="AM505" i="85"/>
  <c r="AN505" i="85"/>
  <c r="B505" i="85"/>
  <c r="C505" i="85"/>
  <c r="P505" i="85"/>
  <c r="S505" i="85"/>
  <c r="AD506" i="85"/>
  <c r="AG506" i="85"/>
  <c r="G506" i="85"/>
  <c r="AF506" i="85" a="1"/>
  <c r="AF506" i="85"/>
  <c r="AJ506" i="85"/>
  <c r="AL506" i="85"/>
  <c r="AK506" i="85"/>
  <c r="AM506" i="85"/>
  <c r="AN506" i="85"/>
  <c r="B506" i="85"/>
  <c r="C506" i="85"/>
  <c r="P506" i="85"/>
  <c r="S506" i="85"/>
  <c r="AD507" i="85"/>
  <c r="AG507" i="85"/>
  <c r="G507" i="85"/>
  <c r="AF507" i="85" a="1"/>
  <c r="AF507" i="85"/>
  <c r="AJ507" i="85"/>
  <c r="AL507" i="85"/>
  <c r="AK507" i="85"/>
  <c r="AM507" i="85"/>
  <c r="AN507" i="85"/>
  <c r="B507" i="85"/>
  <c r="C507" i="85"/>
  <c r="P507" i="85"/>
  <c r="S507" i="85"/>
  <c r="AD508" i="85"/>
  <c r="AG508" i="85"/>
  <c r="G508" i="85"/>
  <c r="AF508" i="85" a="1"/>
  <c r="AF508" i="85"/>
  <c r="AJ508" i="85"/>
  <c r="AL508" i="85"/>
  <c r="AK508" i="85"/>
  <c r="AM508" i="85"/>
  <c r="AN508" i="85"/>
  <c r="B508" i="85"/>
  <c r="C508" i="85"/>
  <c r="P508" i="85"/>
  <c r="S508" i="85"/>
  <c r="AD509" i="85"/>
  <c r="AG509" i="85"/>
  <c r="G509" i="85"/>
  <c r="AF509" i="85" a="1"/>
  <c r="AF509" i="85"/>
  <c r="AJ509" i="85"/>
  <c r="AL509" i="85"/>
  <c r="AK509" i="85"/>
  <c r="AM509" i="85"/>
  <c r="AN509" i="85"/>
  <c r="B509" i="85"/>
  <c r="C509" i="85"/>
  <c r="P509" i="85"/>
  <c r="S509" i="85"/>
  <c r="AD510" i="85"/>
  <c r="AG510" i="85"/>
  <c r="G510" i="85"/>
  <c r="AF510" i="85" a="1"/>
  <c r="AF510" i="85"/>
  <c r="AJ510" i="85"/>
  <c r="AL510" i="85"/>
  <c r="AK510" i="85"/>
  <c r="AM510" i="85"/>
  <c r="AN510" i="85"/>
  <c r="B510" i="85"/>
  <c r="C510" i="85"/>
  <c r="P510" i="85"/>
  <c r="S510" i="85"/>
  <c r="AD511" i="85"/>
  <c r="AG511" i="85"/>
  <c r="G511" i="85"/>
  <c r="AF511" i="85" a="1"/>
  <c r="AF511" i="85"/>
  <c r="AJ511" i="85"/>
  <c r="AL511" i="85"/>
  <c r="AK511" i="85"/>
  <c r="AM511" i="85"/>
  <c r="AN511" i="85"/>
  <c r="B511" i="85"/>
  <c r="C511" i="85"/>
  <c r="P511" i="85"/>
  <c r="S511" i="85"/>
  <c r="AD512" i="85"/>
  <c r="AG512" i="85"/>
  <c r="G512" i="85"/>
  <c r="AF512" i="85" a="1"/>
  <c r="AF512" i="85"/>
  <c r="AJ512" i="85"/>
  <c r="AL512" i="85"/>
  <c r="AK512" i="85"/>
  <c r="AM512" i="85"/>
  <c r="AN512" i="85"/>
  <c r="B512" i="85"/>
  <c r="C512" i="85"/>
  <c r="P512" i="85"/>
  <c r="S512" i="85"/>
  <c r="AD513" i="85"/>
  <c r="AG513" i="85"/>
  <c r="G513" i="85"/>
  <c r="AF513" i="85" a="1"/>
  <c r="AF513" i="85"/>
  <c r="AJ513" i="85"/>
  <c r="AL513" i="85"/>
  <c r="AK513" i="85"/>
  <c r="AM513" i="85"/>
  <c r="AN513" i="85"/>
  <c r="B513" i="85"/>
  <c r="C513" i="85"/>
  <c r="P513" i="85"/>
  <c r="S513" i="85"/>
  <c r="AD514" i="85"/>
  <c r="AG514" i="85"/>
  <c r="G514" i="85"/>
  <c r="AF514" i="85" a="1"/>
  <c r="AF514" i="85"/>
  <c r="AJ514" i="85"/>
  <c r="AL514" i="85"/>
  <c r="AK514" i="85"/>
  <c r="AM514" i="85"/>
  <c r="AN514" i="85"/>
  <c r="B514" i="85"/>
  <c r="C514" i="85"/>
  <c r="P514" i="85"/>
  <c r="S514" i="85"/>
  <c r="AD515" i="85"/>
  <c r="AG515" i="85"/>
  <c r="G515" i="85"/>
  <c r="AF515" i="85" a="1"/>
  <c r="AF515" i="85"/>
  <c r="AJ515" i="85"/>
  <c r="AL515" i="85"/>
  <c r="AK515" i="85"/>
  <c r="AM515" i="85"/>
  <c r="AN515" i="85"/>
  <c r="B515" i="85"/>
  <c r="C515" i="85"/>
  <c r="P515" i="85"/>
  <c r="S515" i="85"/>
  <c r="AD516" i="85"/>
  <c r="AG516" i="85"/>
  <c r="G516" i="85"/>
  <c r="AF516" i="85" a="1"/>
  <c r="AF516" i="85"/>
  <c r="AJ516" i="85"/>
  <c r="AL516" i="85"/>
  <c r="AK516" i="85"/>
  <c r="AM516" i="85"/>
  <c r="AN516" i="85"/>
  <c r="B516" i="85"/>
  <c r="C516" i="85"/>
  <c r="P516" i="85"/>
  <c r="S516" i="85"/>
  <c r="AD517" i="85"/>
  <c r="AG517" i="85"/>
  <c r="G517" i="85"/>
  <c r="AF517" i="85" a="1"/>
  <c r="AF517" i="85"/>
  <c r="AJ517" i="85"/>
  <c r="AL517" i="85"/>
  <c r="AK517" i="85"/>
  <c r="AM517" i="85"/>
  <c r="AN517" i="85"/>
  <c r="B517" i="85"/>
  <c r="C517" i="85"/>
  <c r="P517" i="85"/>
  <c r="S517" i="85"/>
  <c r="AD518" i="85"/>
  <c r="AG518" i="85"/>
  <c r="G518" i="85"/>
  <c r="AF518" i="85" a="1"/>
  <c r="AF518" i="85"/>
  <c r="AJ518" i="85"/>
  <c r="AL518" i="85"/>
  <c r="AK518" i="85"/>
  <c r="AM518" i="85"/>
  <c r="AN518" i="85"/>
  <c r="B518" i="85"/>
  <c r="C518" i="85"/>
  <c r="P518" i="85"/>
  <c r="S518" i="85"/>
  <c r="AD519" i="85"/>
  <c r="AG519" i="85"/>
  <c r="G519" i="85"/>
  <c r="AF519" i="85" a="1"/>
  <c r="AF519" i="85"/>
  <c r="AJ519" i="85"/>
  <c r="AL519" i="85"/>
  <c r="AK519" i="85"/>
  <c r="AM519" i="85"/>
  <c r="AN519" i="85"/>
  <c r="B519" i="85"/>
  <c r="C519" i="85"/>
  <c r="P519" i="85"/>
  <c r="S519" i="85"/>
  <c r="AD520" i="85"/>
  <c r="AG520" i="85"/>
  <c r="G520" i="85"/>
  <c r="AF520" i="85" a="1"/>
  <c r="AF520" i="85"/>
  <c r="AJ520" i="85"/>
  <c r="AL520" i="85"/>
  <c r="AK520" i="85"/>
  <c r="AM520" i="85"/>
  <c r="AN520" i="85"/>
  <c r="B520" i="85"/>
  <c r="C520" i="85"/>
  <c r="P520" i="85"/>
  <c r="S520" i="85"/>
  <c r="AH521" i="85"/>
  <c r="G521" i="85"/>
  <c r="AF521" i="85" a="1"/>
  <c r="AF521" i="85"/>
  <c r="AJ521" i="85"/>
  <c r="AL521" i="85"/>
  <c r="AK521" i="85"/>
  <c r="AM521" i="85"/>
  <c r="AN521" i="85"/>
  <c r="B521" i="85"/>
  <c r="C521" i="85"/>
  <c r="P521" i="85"/>
  <c r="S521" i="85"/>
  <c r="AH522" i="85"/>
  <c r="G522" i="85"/>
  <c r="AF522" i="85" a="1"/>
  <c r="AF522" i="85"/>
  <c r="AJ522" i="85"/>
  <c r="AL522" i="85"/>
  <c r="AK522" i="85"/>
  <c r="AM522" i="85"/>
  <c r="AN522" i="85"/>
  <c r="B522" i="85"/>
  <c r="C522" i="85"/>
  <c r="P522" i="85"/>
  <c r="S522" i="85"/>
  <c r="AH523" i="85"/>
  <c r="G523" i="85"/>
  <c r="AF523" i="85" a="1"/>
  <c r="AF523" i="85"/>
  <c r="AJ523" i="85"/>
  <c r="AL523" i="85"/>
  <c r="AK523" i="85"/>
  <c r="AM523" i="85"/>
  <c r="AN523" i="85"/>
  <c r="B523" i="85"/>
  <c r="C523" i="85"/>
  <c r="P523" i="85"/>
  <c r="S523" i="85"/>
  <c r="AH524" i="85"/>
  <c r="G524" i="85"/>
  <c r="AF524" i="85" a="1"/>
  <c r="AF524" i="85"/>
  <c r="AJ524" i="85"/>
  <c r="AL524" i="85"/>
  <c r="AK524" i="85"/>
  <c r="AM524" i="85"/>
  <c r="AN524" i="85"/>
  <c r="B524" i="85"/>
  <c r="C524" i="85"/>
  <c r="P524" i="85"/>
  <c r="S524" i="85"/>
  <c r="AH525" i="85"/>
  <c r="G525" i="85"/>
  <c r="AF525" i="85" a="1"/>
  <c r="AF525" i="85"/>
  <c r="AJ525" i="85"/>
  <c r="AL525" i="85"/>
  <c r="AK525" i="85"/>
  <c r="AM525" i="85"/>
  <c r="AN525" i="85"/>
  <c r="B525" i="85"/>
  <c r="C525" i="85"/>
  <c r="P525" i="85"/>
  <c r="S525" i="85"/>
  <c r="AH526" i="85"/>
  <c r="G526" i="85"/>
  <c r="AF526" i="85" a="1"/>
  <c r="AF526" i="85"/>
  <c r="AJ526" i="85"/>
  <c r="AL526" i="85"/>
  <c r="AK526" i="85"/>
  <c r="AM526" i="85"/>
  <c r="AN526" i="85"/>
  <c r="B526" i="85"/>
  <c r="C526" i="85"/>
  <c r="P526" i="85"/>
  <c r="S526" i="85"/>
  <c r="AH527" i="85"/>
  <c r="G527" i="85"/>
  <c r="AF527" i="85" a="1"/>
  <c r="AF527" i="85"/>
  <c r="AJ527" i="85"/>
  <c r="AL527" i="85"/>
  <c r="AK527" i="85"/>
  <c r="AM527" i="85"/>
  <c r="AN527" i="85"/>
  <c r="B527" i="85"/>
  <c r="C527" i="85"/>
  <c r="P527" i="85"/>
  <c r="S527" i="85"/>
  <c r="AH528" i="85"/>
  <c r="G528" i="85"/>
  <c r="AF528" i="85" a="1"/>
  <c r="AF528" i="85"/>
  <c r="AJ528" i="85"/>
  <c r="AL528" i="85"/>
  <c r="AK528" i="85"/>
  <c r="AM528" i="85"/>
  <c r="AN528" i="85"/>
  <c r="B528" i="85"/>
  <c r="C528" i="85"/>
  <c r="P528" i="85"/>
  <c r="S528" i="85"/>
  <c r="AH529" i="85"/>
  <c r="G529" i="85"/>
  <c r="AF529" i="85" a="1"/>
  <c r="AF529" i="85"/>
  <c r="AJ529" i="85"/>
  <c r="AL529" i="85"/>
  <c r="AK529" i="85"/>
  <c r="AM529" i="85"/>
  <c r="AN529" i="85"/>
  <c r="B529" i="85"/>
  <c r="C529" i="85"/>
  <c r="P529" i="85"/>
  <c r="S529" i="85"/>
  <c r="AH530" i="85"/>
  <c r="G530" i="85"/>
  <c r="AF530" i="85" a="1"/>
  <c r="AF530" i="85"/>
  <c r="AJ530" i="85"/>
  <c r="AL530" i="85"/>
  <c r="AK530" i="85"/>
  <c r="AM530" i="85"/>
  <c r="AN530" i="85"/>
  <c r="B530" i="85"/>
  <c r="C530" i="85"/>
  <c r="P530" i="85"/>
  <c r="S530" i="85"/>
  <c r="AH531" i="85"/>
  <c r="G531" i="85"/>
  <c r="AF531" i="85" a="1"/>
  <c r="AF531" i="85"/>
  <c r="AJ531" i="85"/>
  <c r="AL531" i="85"/>
  <c r="AK531" i="85"/>
  <c r="AM531" i="85"/>
  <c r="AN531" i="85"/>
  <c r="B531" i="85"/>
  <c r="C531" i="85"/>
  <c r="P531" i="85"/>
  <c r="S531" i="85"/>
  <c r="AH532" i="85"/>
  <c r="G532" i="85"/>
  <c r="AF532" i="85" a="1"/>
  <c r="AF532" i="85"/>
  <c r="AJ532" i="85"/>
  <c r="AL532" i="85"/>
  <c r="AK532" i="85"/>
  <c r="AM532" i="85"/>
  <c r="AN532" i="85"/>
  <c r="B532" i="85"/>
  <c r="C532" i="85"/>
  <c r="P532" i="85"/>
  <c r="S532" i="85"/>
  <c r="AG533" i="85"/>
  <c r="G533" i="85"/>
  <c r="AF533" i="85" a="1"/>
  <c r="AF533" i="85"/>
  <c r="AJ533" i="85"/>
  <c r="AL533" i="85"/>
  <c r="AK533" i="85"/>
  <c r="AM533" i="85"/>
  <c r="AN533" i="85"/>
  <c r="B533" i="85"/>
  <c r="C533" i="85"/>
  <c r="P533" i="85"/>
  <c r="S533" i="85"/>
  <c r="AG534" i="85"/>
  <c r="G534" i="85"/>
  <c r="AF534" i="85" a="1"/>
  <c r="AF534" i="85"/>
  <c r="AJ534" i="85"/>
  <c r="AL534" i="85"/>
  <c r="AK534" i="85"/>
  <c r="AM534" i="85"/>
  <c r="AN534" i="85"/>
  <c r="B534" i="85"/>
  <c r="C534" i="85"/>
  <c r="P534" i="85"/>
  <c r="S534" i="85"/>
  <c r="AG535" i="85"/>
  <c r="G535" i="85"/>
  <c r="AF535" i="85" a="1"/>
  <c r="AF535" i="85"/>
  <c r="AJ535" i="85"/>
  <c r="AL535" i="85"/>
  <c r="AK535" i="85"/>
  <c r="AM535" i="85"/>
  <c r="AN535" i="85"/>
  <c r="B535" i="85"/>
  <c r="C535" i="85"/>
  <c r="P535" i="85"/>
  <c r="S535" i="85"/>
  <c r="AG536" i="85"/>
  <c r="G536" i="85"/>
  <c r="AF536" i="85" a="1"/>
  <c r="AF536" i="85"/>
  <c r="AJ536" i="85"/>
  <c r="AL536" i="85"/>
  <c r="AK536" i="85"/>
  <c r="AM536" i="85"/>
  <c r="AN536" i="85"/>
  <c r="B536" i="85"/>
  <c r="C536" i="85"/>
  <c r="P536" i="85"/>
  <c r="S536" i="85"/>
  <c r="G537" i="85"/>
  <c r="J537" i="85"/>
  <c r="AG537" i="85"/>
  <c r="AF537" i="85" a="1"/>
  <c r="AF537" i="85"/>
  <c r="AJ537" i="85"/>
  <c r="AL537" i="85"/>
  <c r="AK537" i="85"/>
  <c r="AM537" i="85"/>
  <c r="AN537" i="85"/>
  <c r="B537" i="85"/>
  <c r="C537" i="85"/>
  <c r="P537" i="85"/>
  <c r="S537" i="85"/>
  <c r="AG538" i="85"/>
  <c r="G538" i="85"/>
  <c r="AF538" i="85" a="1"/>
  <c r="AF538" i="85"/>
  <c r="AJ538" i="85"/>
  <c r="AL538" i="85"/>
  <c r="AK538" i="85"/>
  <c r="AM538" i="85"/>
  <c r="AN538" i="85"/>
  <c r="B538" i="85"/>
  <c r="C538" i="85"/>
  <c r="P538" i="85"/>
  <c r="S538" i="85"/>
  <c r="AG539" i="85"/>
  <c r="G539" i="85"/>
  <c r="AF539" i="85" a="1"/>
  <c r="AF539" i="85"/>
  <c r="AJ539" i="85"/>
  <c r="AL539" i="85"/>
  <c r="AK539" i="85"/>
  <c r="AM539" i="85"/>
  <c r="AN539" i="85"/>
  <c r="B539" i="85"/>
  <c r="C539" i="85"/>
  <c r="P539" i="85"/>
  <c r="S539" i="85"/>
  <c r="AG540" i="85"/>
  <c r="G540" i="85"/>
  <c r="AF540" i="85" a="1"/>
  <c r="AF540" i="85"/>
  <c r="AJ540" i="85"/>
  <c r="AL540" i="85"/>
  <c r="AK540" i="85"/>
  <c r="AM540" i="85"/>
  <c r="AN540" i="85"/>
  <c r="B540" i="85"/>
  <c r="C540" i="85"/>
  <c r="P540" i="85"/>
  <c r="S540" i="85"/>
  <c r="AG541" i="85"/>
  <c r="G541" i="85"/>
  <c r="AF541" i="85" a="1"/>
  <c r="AF541" i="85"/>
  <c r="AJ541" i="85"/>
  <c r="AL541" i="85"/>
  <c r="AK541" i="85"/>
  <c r="AM541" i="85"/>
  <c r="AN541" i="85"/>
  <c r="B541" i="85"/>
  <c r="C541" i="85"/>
  <c r="P541" i="85"/>
  <c r="S541" i="85"/>
  <c r="AG542" i="85"/>
  <c r="G542" i="85"/>
  <c r="AF542" i="85" a="1"/>
  <c r="AF542" i="85"/>
  <c r="AJ542" i="85"/>
  <c r="AL542" i="85"/>
  <c r="AK542" i="85"/>
  <c r="AM542" i="85"/>
  <c r="AN542" i="85"/>
  <c r="B542" i="85"/>
  <c r="C542" i="85"/>
  <c r="P542" i="85"/>
  <c r="S542" i="85"/>
  <c r="AG543" i="85"/>
  <c r="G543" i="85"/>
  <c r="AF543" i="85" a="1"/>
  <c r="AF543" i="85"/>
  <c r="AJ543" i="85"/>
  <c r="AL543" i="85"/>
  <c r="AK543" i="85"/>
  <c r="AM543" i="85"/>
  <c r="AN543" i="85"/>
  <c r="B543" i="85"/>
  <c r="C543" i="85"/>
  <c r="P543" i="85"/>
  <c r="S543" i="85"/>
  <c r="AG544" i="85"/>
  <c r="G544" i="85"/>
  <c r="AF544" i="85" a="1"/>
  <c r="AF544" i="85"/>
  <c r="AJ544" i="85"/>
  <c r="AL544" i="85"/>
  <c r="AK544" i="85"/>
  <c r="AM544" i="85"/>
  <c r="AN544" i="85"/>
  <c r="B544" i="85"/>
  <c r="C544" i="85"/>
  <c r="P544" i="85"/>
  <c r="S544" i="85"/>
  <c r="AG545" i="85"/>
  <c r="G545" i="85"/>
  <c r="AF545" i="85" a="1"/>
  <c r="AF545" i="85"/>
  <c r="AJ545" i="85"/>
  <c r="AL545" i="85"/>
  <c r="AK545" i="85"/>
  <c r="AM545" i="85"/>
  <c r="AN545" i="85"/>
  <c r="B545" i="85"/>
  <c r="C545" i="85"/>
  <c r="P545" i="85"/>
  <c r="S545" i="85"/>
  <c r="AG546" i="85"/>
  <c r="G546" i="85"/>
  <c r="AF546" i="85" a="1"/>
  <c r="AF546" i="85"/>
  <c r="AJ546" i="85"/>
  <c r="AL546" i="85"/>
  <c r="AK546" i="85"/>
  <c r="AM546" i="85"/>
  <c r="AN546" i="85"/>
  <c r="B546" i="85"/>
  <c r="C546" i="85"/>
  <c r="P546" i="85"/>
  <c r="S546" i="85"/>
  <c r="AG547" i="85"/>
  <c r="G547" i="85"/>
  <c r="AF547" i="85" a="1"/>
  <c r="AF547" i="85"/>
  <c r="AJ547" i="85"/>
  <c r="AL547" i="85"/>
  <c r="AK547" i="85"/>
  <c r="AM547" i="85"/>
  <c r="AN547" i="85"/>
  <c r="B547" i="85"/>
  <c r="C547" i="85"/>
  <c r="P547" i="85"/>
  <c r="S547" i="85"/>
  <c r="AG548" i="85"/>
  <c r="G548" i="85"/>
  <c r="AF548" i="85" a="1"/>
  <c r="AF548" i="85"/>
  <c r="AJ548" i="85"/>
  <c r="AL548" i="85"/>
  <c r="AK548" i="85"/>
  <c r="AM548" i="85"/>
  <c r="AN548" i="85"/>
  <c r="B548" i="85"/>
  <c r="C548" i="85"/>
  <c r="P548" i="85"/>
  <c r="S548" i="85"/>
  <c r="AG549" i="85"/>
  <c r="G549" i="85"/>
  <c r="AF549" i="85" a="1"/>
  <c r="AF549" i="85"/>
  <c r="AJ549" i="85"/>
  <c r="AL549" i="85"/>
  <c r="AK549" i="85"/>
  <c r="AM549" i="85"/>
  <c r="AN549" i="85"/>
  <c r="B549" i="85"/>
  <c r="C549" i="85"/>
  <c r="P549" i="85"/>
  <c r="S549" i="85"/>
  <c r="AG550" i="85"/>
  <c r="G550" i="85"/>
  <c r="AF550" i="85" a="1"/>
  <c r="AF550" i="85"/>
  <c r="AJ550" i="85"/>
  <c r="AL550" i="85"/>
  <c r="AK550" i="85"/>
  <c r="AM550" i="85"/>
  <c r="AN550" i="85"/>
  <c r="B550" i="85"/>
  <c r="C550" i="85"/>
  <c r="P550" i="85"/>
  <c r="S550" i="85"/>
  <c r="AG551" i="85"/>
  <c r="G551" i="85"/>
  <c r="AF551" i="85" a="1"/>
  <c r="AF551" i="85"/>
  <c r="AJ551" i="85"/>
  <c r="AL551" i="85"/>
  <c r="AK551" i="85"/>
  <c r="AM551" i="85"/>
  <c r="AN551" i="85"/>
  <c r="B551" i="85"/>
  <c r="C551" i="85"/>
  <c r="P551" i="85"/>
  <c r="S551" i="85"/>
  <c r="AG552" i="85"/>
  <c r="G552" i="85"/>
  <c r="AF552" i="85" a="1"/>
  <c r="AF552" i="85"/>
  <c r="AJ552" i="85"/>
  <c r="AL552" i="85"/>
  <c r="AK552" i="85"/>
  <c r="AM552" i="85"/>
  <c r="AN552" i="85"/>
  <c r="B552" i="85"/>
  <c r="C552" i="85"/>
  <c r="P552" i="85"/>
  <c r="S552" i="85"/>
  <c r="AG553" i="85"/>
  <c r="G553" i="85"/>
  <c r="AF553" i="85" a="1"/>
  <c r="AF553" i="85"/>
  <c r="AJ553" i="85"/>
  <c r="AL553" i="85"/>
  <c r="AK553" i="85"/>
  <c r="AM553" i="85"/>
  <c r="AN553" i="85"/>
  <c r="B553" i="85"/>
  <c r="C553" i="85"/>
  <c r="P553" i="85"/>
  <c r="S553" i="85"/>
  <c r="AG554" i="85"/>
  <c r="G554" i="85"/>
  <c r="AF554" i="85" a="1"/>
  <c r="AF554" i="85"/>
  <c r="AJ554" i="85"/>
  <c r="AL554" i="85"/>
  <c r="AK554" i="85"/>
  <c r="AM554" i="85"/>
  <c r="AN554" i="85"/>
  <c r="B554" i="85"/>
  <c r="C554" i="85"/>
  <c r="P554" i="85"/>
  <c r="S554" i="85"/>
  <c r="AG555" i="85"/>
  <c r="G555" i="85"/>
  <c r="AF555" i="85" a="1"/>
  <c r="AF555" i="85"/>
  <c r="AJ555" i="85"/>
  <c r="AL555" i="85"/>
  <c r="AK555" i="85"/>
  <c r="AM555" i="85"/>
  <c r="AN555" i="85"/>
  <c r="B555" i="85"/>
  <c r="C555" i="85"/>
  <c r="P555" i="85"/>
  <c r="S555" i="85"/>
  <c r="AG556" i="85"/>
  <c r="G556" i="85"/>
  <c r="AF556" i="85" a="1"/>
  <c r="AF556" i="85"/>
  <c r="AJ556" i="85"/>
  <c r="AL556" i="85"/>
  <c r="AK556" i="85"/>
  <c r="AM556" i="85"/>
  <c r="AN556" i="85"/>
  <c r="B556" i="85"/>
  <c r="C556" i="85"/>
  <c r="P556" i="85"/>
  <c r="S556" i="85"/>
  <c r="AG557" i="85"/>
  <c r="G557" i="85"/>
  <c r="AF557" i="85" a="1"/>
  <c r="AF557" i="85"/>
  <c r="AJ557" i="85"/>
  <c r="AL557" i="85"/>
  <c r="AK557" i="85"/>
  <c r="AM557" i="85"/>
  <c r="AN557" i="85"/>
  <c r="B557" i="85"/>
  <c r="C557" i="85"/>
  <c r="P557" i="85"/>
  <c r="S557" i="85"/>
  <c r="AG558" i="85"/>
  <c r="G558" i="85"/>
  <c r="AF558" i="85" a="1"/>
  <c r="AF558" i="85"/>
  <c r="AJ558" i="85"/>
  <c r="AL558" i="85"/>
  <c r="AK558" i="85"/>
  <c r="AM558" i="85"/>
  <c r="AN558" i="85"/>
  <c r="B558" i="85"/>
  <c r="C558" i="85"/>
  <c r="P558" i="85"/>
  <c r="S558" i="85"/>
  <c r="AG559" i="85"/>
  <c r="G559" i="85"/>
  <c r="AF559" i="85" a="1"/>
  <c r="AF559" i="85"/>
  <c r="AJ559" i="85"/>
  <c r="AL559" i="85"/>
  <c r="AK559" i="85"/>
  <c r="AM559" i="85"/>
  <c r="AN559" i="85"/>
  <c r="B559" i="85"/>
  <c r="C559" i="85"/>
  <c r="P559" i="85"/>
  <c r="S559" i="85"/>
  <c r="AG560" i="85"/>
  <c r="G560" i="85"/>
  <c r="AF560" i="85" a="1"/>
  <c r="AF560" i="85"/>
  <c r="AJ560" i="85"/>
  <c r="AL560" i="85"/>
  <c r="AK560" i="85"/>
  <c r="AM560" i="85"/>
  <c r="AN560" i="85"/>
  <c r="B560" i="85"/>
  <c r="C560" i="85"/>
  <c r="P560" i="85"/>
  <c r="S560" i="85"/>
  <c r="AG561" i="85"/>
  <c r="G561" i="85"/>
  <c r="AF561" i="85" a="1"/>
  <c r="AF561" i="85"/>
  <c r="AJ561" i="85"/>
  <c r="AL561" i="85"/>
  <c r="AK561" i="85"/>
  <c r="AM561" i="85"/>
  <c r="AN561" i="85"/>
  <c r="B561" i="85"/>
  <c r="C561" i="85"/>
  <c r="P561" i="85"/>
  <c r="S561" i="85"/>
  <c r="AG562" i="85"/>
  <c r="G562" i="85"/>
  <c r="AF562" i="85" a="1"/>
  <c r="AF562" i="85"/>
  <c r="AJ562" i="85"/>
  <c r="AL562" i="85"/>
  <c r="AK562" i="85"/>
  <c r="AM562" i="85"/>
  <c r="AN562" i="85"/>
  <c r="B562" i="85"/>
  <c r="C562" i="85"/>
  <c r="P562" i="85"/>
  <c r="S562" i="85"/>
  <c r="AG563" i="85"/>
  <c r="G563" i="85"/>
  <c r="AF563" i="85" a="1"/>
  <c r="AF563" i="85"/>
  <c r="AJ563" i="85"/>
  <c r="AL563" i="85"/>
  <c r="AK563" i="85"/>
  <c r="AM563" i="85"/>
  <c r="AN563" i="85"/>
  <c r="B563" i="85"/>
  <c r="C563" i="85"/>
  <c r="P563" i="85"/>
  <c r="S563" i="85"/>
  <c r="AG564" i="85"/>
  <c r="G564" i="85"/>
  <c r="AF564" i="85" a="1"/>
  <c r="AF564" i="85"/>
  <c r="AJ564" i="85"/>
  <c r="AL564" i="85"/>
  <c r="AK564" i="85"/>
  <c r="AM564" i="85"/>
  <c r="AN564" i="85"/>
  <c r="B564" i="85"/>
  <c r="C564" i="85"/>
  <c r="P564" i="85"/>
  <c r="S564" i="85"/>
  <c r="AG565" i="85"/>
  <c r="G565" i="85"/>
  <c r="AF565" i="85" a="1"/>
  <c r="AF565" i="85"/>
  <c r="AJ565" i="85"/>
  <c r="AL565" i="85"/>
  <c r="AK565" i="85"/>
  <c r="AM565" i="85"/>
  <c r="AN565" i="85"/>
  <c r="B565" i="85"/>
  <c r="C565" i="85"/>
  <c r="P565" i="85"/>
  <c r="S565" i="85"/>
  <c r="AG566" i="85"/>
  <c r="G566" i="85"/>
  <c r="AF566" i="85" a="1"/>
  <c r="AF566" i="85"/>
  <c r="AJ566" i="85"/>
  <c r="AL566" i="85"/>
  <c r="AK566" i="85"/>
  <c r="AM566" i="85"/>
  <c r="AN566" i="85"/>
  <c r="B566" i="85"/>
  <c r="C566" i="85"/>
  <c r="P566" i="85"/>
  <c r="S566" i="85"/>
  <c r="AG567" i="85"/>
  <c r="G567" i="85"/>
  <c r="AF567" i="85" a="1"/>
  <c r="AF567" i="85"/>
  <c r="AJ567" i="85"/>
  <c r="AL567" i="85"/>
  <c r="AK567" i="85"/>
  <c r="AM567" i="85"/>
  <c r="AN567" i="85"/>
  <c r="B567" i="85"/>
  <c r="C567" i="85"/>
  <c r="P567" i="85"/>
  <c r="S567" i="85"/>
  <c r="AG568" i="85"/>
  <c r="G568" i="85"/>
  <c r="AF568" i="85" a="1"/>
  <c r="AF568" i="85"/>
  <c r="AJ568" i="85"/>
  <c r="AL568" i="85"/>
  <c r="AK568" i="85"/>
  <c r="AM568" i="85"/>
  <c r="AN568" i="85"/>
  <c r="B568" i="85"/>
  <c r="C568" i="85"/>
  <c r="P568" i="85"/>
  <c r="S568" i="85"/>
  <c r="AG569" i="85"/>
  <c r="G569" i="85"/>
  <c r="AF569" i="85" a="1"/>
  <c r="AF569" i="85"/>
  <c r="AJ569" i="85"/>
  <c r="AL569" i="85"/>
  <c r="AK569" i="85"/>
  <c r="AM569" i="85"/>
  <c r="AN569" i="85"/>
  <c r="B569" i="85"/>
  <c r="C569" i="85"/>
  <c r="P569" i="85"/>
  <c r="S569" i="85"/>
  <c r="AG570" i="85"/>
  <c r="G570" i="85"/>
  <c r="AF570" i="85" a="1"/>
  <c r="AF570" i="85"/>
  <c r="AJ570" i="85"/>
  <c r="AL570" i="85"/>
  <c r="AK570" i="85"/>
  <c r="AM570" i="85"/>
  <c r="AN570" i="85"/>
  <c r="B570" i="85"/>
  <c r="C570" i="85"/>
  <c r="P570" i="85"/>
  <c r="S570" i="85"/>
  <c r="AG571" i="85"/>
  <c r="G571" i="85"/>
  <c r="AF571" i="85" a="1"/>
  <c r="AF571" i="85"/>
  <c r="AJ571" i="85"/>
  <c r="AL571" i="85"/>
  <c r="AK571" i="85"/>
  <c r="AM571" i="85"/>
  <c r="AN571" i="85"/>
  <c r="B571" i="85"/>
  <c r="C571" i="85"/>
  <c r="P571" i="85"/>
  <c r="S571" i="85"/>
  <c r="AF572" i="85" a="1"/>
  <c r="AF572" i="85"/>
  <c r="AJ572" i="85"/>
  <c r="AL572" i="85"/>
  <c r="AK572" i="85"/>
  <c r="AM572" i="85"/>
  <c r="AN572" i="85"/>
  <c r="B572" i="85"/>
  <c r="C572" i="85"/>
  <c r="P572" i="85"/>
  <c r="S572" i="85"/>
  <c r="AF573" i="85" a="1"/>
  <c r="AF573" i="85"/>
  <c r="AJ573" i="85"/>
  <c r="AL573" i="85"/>
  <c r="AK573" i="85"/>
  <c r="AM573" i="85"/>
  <c r="AN573" i="85"/>
  <c r="B573" i="85"/>
  <c r="C573" i="85"/>
  <c r="P573" i="85"/>
  <c r="S573" i="85"/>
  <c r="AF574" i="85" a="1"/>
  <c r="AF574" i="85"/>
  <c r="AJ574" i="85"/>
  <c r="AL574" i="85"/>
  <c r="AK574" i="85"/>
  <c r="AM574" i="85"/>
  <c r="AN574" i="85"/>
  <c r="B574" i="85"/>
  <c r="C574" i="85"/>
  <c r="P574" i="85"/>
  <c r="S574" i="85"/>
  <c r="AF575" i="85" a="1"/>
  <c r="AF575" i="85"/>
  <c r="AJ575" i="85"/>
  <c r="AL575" i="85"/>
  <c r="AK575" i="85"/>
  <c r="AM575" i="85"/>
  <c r="AN575" i="85"/>
  <c r="B575" i="85"/>
  <c r="C575" i="85"/>
  <c r="P575" i="85"/>
  <c r="S575" i="85"/>
  <c r="AG576" i="85"/>
  <c r="G576" i="85"/>
  <c r="AF576" i="85" a="1"/>
  <c r="AF576" i="85"/>
  <c r="AJ576" i="85"/>
  <c r="AL576" i="85"/>
  <c r="AK576" i="85"/>
  <c r="AM576" i="85"/>
  <c r="AN576" i="85"/>
  <c r="B576" i="85"/>
  <c r="C576" i="85"/>
  <c r="P576" i="85"/>
  <c r="S576" i="85"/>
  <c r="AG577" i="85"/>
  <c r="G577" i="85"/>
  <c r="AF577" i="85" a="1"/>
  <c r="AF577" i="85"/>
  <c r="AJ577" i="85"/>
  <c r="AL577" i="85"/>
  <c r="AK577" i="85"/>
  <c r="AM577" i="85"/>
  <c r="AN577" i="85"/>
  <c r="B577" i="85"/>
  <c r="C577" i="85"/>
  <c r="P577" i="85"/>
  <c r="S577" i="85"/>
  <c r="AG578" i="85"/>
  <c r="G578" i="85"/>
  <c r="AF578" i="85" a="1"/>
  <c r="AF578" i="85"/>
  <c r="AJ578" i="85"/>
  <c r="AL578" i="85"/>
  <c r="AK578" i="85"/>
  <c r="AM578" i="85"/>
  <c r="AN578" i="85"/>
  <c r="B578" i="85"/>
  <c r="C578" i="85"/>
  <c r="P578" i="85"/>
  <c r="S578" i="85"/>
  <c r="AG579" i="85"/>
  <c r="G579" i="85"/>
  <c r="AF579" i="85" a="1"/>
  <c r="AF579" i="85"/>
  <c r="AJ579" i="85"/>
  <c r="AL579" i="85"/>
  <c r="AK579" i="85"/>
  <c r="AM579" i="85"/>
  <c r="AN579" i="85"/>
  <c r="B579" i="85"/>
  <c r="C579" i="85"/>
  <c r="P579" i="85"/>
  <c r="S579" i="85"/>
  <c r="AG580" i="85"/>
  <c r="G580" i="85"/>
  <c r="AF580" i="85" a="1"/>
  <c r="AF580" i="85"/>
  <c r="AJ580" i="85"/>
  <c r="AL580" i="85"/>
  <c r="AK580" i="85"/>
  <c r="AM580" i="85"/>
  <c r="AN580" i="85"/>
  <c r="B580" i="85"/>
  <c r="C580" i="85"/>
  <c r="P580" i="85"/>
  <c r="S580" i="85"/>
  <c r="AG581" i="85"/>
  <c r="G581" i="85"/>
  <c r="AF581" i="85" a="1"/>
  <c r="AF581" i="85"/>
  <c r="AJ581" i="85"/>
  <c r="AL581" i="85"/>
  <c r="AK581" i="85"/>
  <c r="AM581" i="85"/>
  <c r="AN581" i="85"/>
  <c r="B581" i="85"/>
  <c r="C581" i="85"/>
  <c r="P581" i="85"/>
  <c r="S581" i="85"/>
  <c r="AG582" i="85"/>
  <c r="G582" i="85"/>
  <c r="AF582" i="85" a="1"/>
  <c r="AF582" i="85"/>
  <c r="AJ582" i="85"/>
  <c r="AL582" i="85"/>
  <c r="AK582" i="85"/>
  <c r="AM582" i="85"/>
  <c r="AN582" i="85"/>
  <c r="B582" i="85"/>
  <c r="C582" i="85"/>
  <c r="P582" i="85"/>
  <c r="S582" i="85"/>
  <c r="G583" i="85"/>
  <c r="J583" i="85"/>
  <c r="AG583" i="85"/>
  <c r="AF583" i="85" a="1"/>
  <c r="AF583" i="85"/>
  <c r="AJ583" i="85"/>
  <c r="AL583" i="85"/>
  <c r="AK583" i="85"/>
  <c r="AM583" i="85"/>
  <c r="AN583" i="85"/>
  <c r="B583" i="85"/>
  <c r="C583" i="85"/>
  <c r="P583" i="85"/>
  <c r="S583" i="85"/>
  <c r="G584" i="85"/>
  <c r="J584" i="85"/>
  <c r="AG584" i="85"/>
  <c r="AF584" i="85" a="1"/>
  <c r="AF584" i="85"/>
  <c r="AJ584" i="85"/>
  <c r="AL584" i="85"/>
  <c r="AK584" i="85"/>
  <c r="AM584" i="85"/>
  <c r="AN584" i="85"/>
  <c r="B584" i="85"/>
  <c r="C584" i="85"/>
  <c r="P584" i="85"/>
  <c r="S584" i="85"/>
  <c r="AG585" i="85"/>
  <c r="G585" i="85"/>
  <c r="AF585" i="85" a="1"/>
  <c r="AF585" i="85"/>
  <c r="AJ585" i="85"/>
  <c r="AL585" i="85"/>
  <c r="AK585" i="85"/>
  <c r="AM585" i="85"/>
  <c r="AN585" i="85"/>
  <c r="B585" i="85"/>
  <c r="C585" i="85"/>
  <c r="P585" i="85"/>
  <c r="S585" i="85"/>
  <c r="G586" i="85"/>
  <c r="J586" i="85"/>
  <c r="AH586" i="85"/>
  <c r="AF586" i="85" a="1"/>
  <c r="AF586" i="85"/>
  <c r="AJ586" i="85"/>
  <c r="AL586" i="85"/>
  <c r="AK586" i="85"/>
  <c r="AM586" i="85"/>
  <c r="AN586" i="85"/>
  <c r="B586" i="85"/>
  <c r="C586" i="85"/>
  <c r="P586" i="85"/>
  <c r="S586" i="85"/>
  <c r="AH587" i="85"/>
  <c r="G587" i="85"/>
  <c r="AF587" i="85" a="1"/>
  <c r="AF587" i="85"/>
  <c r="AJ587" i="85"/>
  <c r="AL587" i="85"/>
  <c r="AK587" i="85"/>
  <c r="AM587" i="85"/>
  <c r="AN587" i="85"/>
  <c r="B587" i="85"/>
  <c r="C587" i="85"/>
  <c r="P587" i="85"/>
  <c r="S587" i="85"/>
  <c r="AH588" i="85"/>
  <c r="G588" i="85"/>
  <c r="AF588" i="85" a="1"/>
  <c r="AF588" i="85"/>
  <c r="AJ588" i="85"/>
  <c r="AL588" i="85"/>
  <c r="AK588" i="85"/>
  <c r="AM588" i="85"/>
  <c r="AN588" i="85"/>
  <c r="B588" i="85"/>
  <c r="C588" i="85"/>
  <c r="P588" i="85"/>
  <c r="S588" i="85"/>
  <c r="AH589" i="85"/>
  <c r="G589" i="85"/>
  <c r="AF589" i="85" a="1"/>
  <c r="AF589" i="85"/>
  <c r="AJ589" i="85"/>
  <c r="AL589" i="85"/>
  <c r="AK589" i="85"/>
  <c r="AM589" i="85"/>
  <c r="AN589" i="85"/>
  <c r="B589" i="85"/>
  <c r="C589" i="85"/>
  <c r="P589" i="85"/>
  <c r="S589" i="85"/>
  <c r="T276" i="85"/>
  <c r="T277" i="85"/>
  <c r="T278" i="85"/>
  <c r="T279" i="85"/>
  <c r="T280" i="85"/>
  <c r="T281" i="85"/>
  <c r="T282" i="85"/>
  <c r="T283" i="85"/>
  <c r="T284" i="85"/>
  <c r="B569" i="86"/>
  <c r="B568" i="86"/>
  <c r="A558" i="86"/>
  <c r="B558" i="86"/>
  <c r="A559" i="86"/>
  <c r="B559" i="86"/>
  <c r="A560" i="86"/>
  <c r="B560" i="86"/>
  <c r="A561" i="86"/>
  <c r="B561" i="86"/>
  <c r="A562" i="86"/>
  <c r="B562" i="86"/>
  <c r="A563" i="86"/>
  <c r="B563" i="86"/>
  <c r="A564" i="86"/>
  <c r="B564" i="86"/>
  <c r="A565" i="86"/>
  <c r="B565" i="86"/>
  <c r="A566" i="86"/>
  <c r="B566" i="86"/>
  <c r="A567" i="86"/>
  <c r="B567" i="86"/>
  <c r="A568" i="86"/>
  <c r="A569" i="86"/>
  <c r="A570" i="86"/>
  <c r="B570" i="86"/>
  <c r="A571" i="86"/>
  <c r="B571" i="86"/>
  <c r="A572" i="86"/>
  <c r="B572" i="86"/>
  <c r="A573" i="86"/>
  <c r="B573" i="86"/>
  <c r="A574" i="86"/>
  <c r="B574" i="86"/>
  <c r="A575" i="86"/>
  <c r="B575" i="86"/>
  <c r="A576" i="86"/>
  <c r="B576" i="86"/>
  <c r="A577" i="86"/>
  <c r="B577" i="86"/>
  <c r="A578" i="86"/>
  <c r="B578" i="86"/>
  <c r="A579" i="86"/>
  <c r="B579" i="86"/>
  <c r="A580" i="86"/>
  <c r="B580" i="86"/>
  <c r="A581" i="86"/>
  <c r="B581" i="86"/>
  <c r="A582" i="86"/>
  <c r="B582" i="86"/>
  <c r="A583" i="86"/>
  <c r="B583" i="86"/>
  <c r="A584" i="86"/>
  <c r="B584" i="86"/>
  <c r="A585" i="86"/>
  <c r="B585" i="86"/>
  <c r="A586" i="86"/>
  <c r="B586" i="86"/>
  <c r="A587" i="86"/>
  <c r="B587" i="86"/>
  <c r="A588" i="86"/>
  <c r="B588" i="86"/>
  <c r="A589" i="86"/>
  <c r="B589" i="86"/>
  <c r="B505" i="86"/>
  <c r="J505" i="85"/>
  <c r="A502" i="86"/>
  <c r="B502" i="86"/>
  <c r="A503" i="86"/>
  <c r="B503" i="86"/>
  <c r="A504" i="86"/>
  <c r="B504" i="86"/>
  <c r="A505" i="86"/>
  <c r="A506" i="86"/>
  <c r="B506" i="86"/>
  <c r="A507" i="86"/>
  <c r="B507" i="86"/>
  <c r="A508" i="86"/>
  <c r="B508" i="86"/>
  <c r="A509" i="86"/>
  <c r="B509" i="86"/>
  <c r="A510" i="86"/>
  <c r="B510" i="86"/>
  <c r="A511" i="86"/>
  <c r="B511" i="86"/>
  <c r="A512" i="86"/>
  <c r="B512" i="86"/>
  <c r="A513" i="86"/>
  <c r="B513" i="86"/>
  <c r="A514" i="86"/>
  <c r="B514" i="86"/>
  <c r="A515" i="86"/>
  <c r="B515" i="86"/>
  <c r="A516" i="86"/>
  <c r="B516" i="86"/>
  <c r="A517" i="86"/>
  <c r="B517" i="86"/>
  <c r="A518" i="86"/>
  <c r="B518" i="86"/>
  <c r="A519" i="86"/>
  <c r="B519" i="86"/>
  <c r="A520" i="86"/>
  <c r="B520" i="86"/>
  <c r="A521" i="86"/>
  <c r="B521" i="86"/>
  <c r="A522" i="86"/>
  <c r="B522" i="86"/>
  <c r="A523" i="86"/>
  <c r="B523" i="86"/>
  <c r="A524" i="86"/>
  <c r="B524" i="86"/>
  <c r="A525" i="86"/>
  <c r="B525" i="86"/>
  <c r="A526" i="86"/>
  <c r="B526" i="86"/>
  <c r="A527" i="86"/>
  <c r="B527" i="86"/>
  <c r="A528" i="86"/>
  <c r="B528" i="86"/>
  <c r="A529" i="86"/>
  <c r="B529" i="86"/>
  <c r="A530" i="86"/>
  <c r="B530" i="86"/>
  <c r="A531" i="86"/>
  <c r="B531" i="86"/>
  <c r="A532" i="86"/>
  <c r="B532" i="86"/>
  <c r="A533" i="86"/>
  <c r="B533" i="86"/>
  <c r="A534" i="86"/>
  <c r="B534" i="86"/>
  <c r="A535" i="86"/>
  <c r="B535" i="86"/>
  <c r="A536" i="86"/>
  <c r="B536" i="86"/>
  <c r="A537" i="86"/>
  <c r="B537" i="86"/>
  <c r="A538" i="86"/>
  <c r="B538" i="86"/>
  <c r="A539" i="86"/>
  <c r="B539" i="86"/>
  <c r="A540" i="86"/>
  <c r="B540" i="86"/>
  <c r="A541" i="86"/>
  <c r="B541" i="86"/>
  <c r="A542" i="86"/>
  <c r="B542" i="86"/>
  <c r="A543" i="86"/>
  <c r="B543" i="86"/>
  <c r="A544" i="86"/>
  <c r="B544" i="86"/>
  <c r="A545" i="86"/>
  <c r="B545" i="86"/>
  <c r="A546" i="86"/>
  <c r="B546" i="86"/>
  <c r="A547" i="86"/>
  <c r="B547" i="86"/>
  <c r="A548" i="86"/>
  <c r="B548" i="86"/>
  <c r="A549" i="86"/>
  <c r="B549" i="86"/>
  <c r="A550" i="86"/>
  <c r="B550" i="86"/>
  <c r="A551" i="86"/>
  <c r="B551" i="86"/>
  <c r="A552" i="86"/>
  <c r="B552" i="86"/>
  <c r="A553" i="86"/>
  <c r="B553" i="86"/>
  <c r="A554" i="86"/>
  <c r="B554" i="86"/>
  <c r="A555" i="86"/>
  <c r="B555" i="86"/>
  <c r="A556" i="86"/>
  <c r="B556" i="86"/>
  <c r="A557" i="86"/>
  <c r="B557" i="86"/>
  <c r="B501" i="86"/>
  <c r="J501" i="85"/>
  <c r="A501" i="86"/>
  <c r="B500" i="86"/>
  <c r="B234" i="86"/>
  <c r="B235" i="86"/>
  <c r="B236" i="86"/>
  <c r="B237" i="86"/>
  <c r="B238" i="86"/>
  <c r="B239" i="86"/>
  <c r="B240" i="86"/>
  <c r="B241" i="86"/>
  <c r="B242" i="86"/>
  <c r="B243" i="86"/>
  <c r="B244" i="86"/>
  <c r="B245" i="86"/>
  <c r="B246" i="86"/>
  <c r="B247" i="86"/>
  <c r="B248" i="86"/>
  <c r="B249" i="86"/>
  <c r="B250" i="86"/>
  <c r="B251" i="86"/>
  <c r="B252" i="86"/>
  <c r="B253" i="86"/>
  <c r="B254" i="86"/>
  <c r="B255" i="86"/>
  <c r="B256" i="86"/>
  <c r="B257" i="86"/>
  <c r="B258" i="86"/>
  <c r="B259" i="86"/>
  <c r="B260" i="86"/>
  <c r="B261" i="86"/>
  <c r="B262" i="86"/>
  <c r="B263" i="86"/>
  <c r="B264" i="86"/>
  <c r="B265" i="86"/>
  <c r="J265" i="85"/>
  <c r="B266" i="86"/>
  <c r="B267" i="86"/>
  <c r="B268" i="86"/>
  <c r="B269" i="86"/>
  <c r="J269" i="85"/>
  <c r="B270" i="86"/>
  <c r="J270" i="85"/>
  <c r="B271" i="86"/>
  <c r="B272" i="86"/>
  <c r="B273" i="86"/>
  <c r="B274" i="86"/>
  <c r="B275" i="86"/>
  <c r="B276" i="86"/>
  <c r="J276" i="85"/>
  <c r="B277" i="86"/>
  <c r="J277" i="85"/>
  <c r="B278" i="86"/>
  <c r="J278" i="85"/>
  <c r="B279" i="86"/>
  <c r="B280" i="86"/>
  <c r="J280" i="85"/>
  <c r="B281" i="86"/>
  <c r="J281" i="85"/>
  <c r="B282" i="86"/>
  <c r="J282" i="85"/>
  <c r="B283" i="86"/>
  <c r="J283" i="85"/>
  <c r="B284" i="86"/>
  <c r="B285" i="86"/>
  <c r="B286" i="86"/>
  <c r="J286" i="85"/>
  <c r="B287" i="86"/>
  <c r="J287" i="85"/>
  <c r="B288" i="86"/>
  <c r="J288" i="85"/>
  <c r="B289" i="86"/>
  <c r="J289" i="85"/>
  <c r="B290" i="86"/>
  <c r="J290" i="85"/>
  <c r="B291" i="86"/>
  <c r="J291" i="85"/>
  <c r="B292" i="86"/>
  <c r="J292" i="85"/>
  <c r="B293" i="86"/>
  <c r="J293" i="85"/>
  <c r="B294" i="86"/>
  <c r="J294" i="85"/>
  <c r="B295" i="86"/>
  <c r="J295" i="85"/>
  <c r="B296" i="86"/>
  <c r="J296" i="85"/>
  <c r="B297" i="86"/>
  <c r="B298" i="86"/>
  <c r="J298" i="85"/>
  <c r="B299" i="86"/>
  <c r="J299" i="85"/>
  <c r="B300" i="86"/>
  <c r="J300" i="85"/>
  <c r="B301" i="86"/>
  <c r="B302" i="86"/>
  <c r="B303" i="86"/>
  <c r="B304" i="86"/>
  <c r="B305" i="86"/>
  <c r="B306" i="86"/>
  <c r="B307" i="86"/>
  <c r="B308" i="86"/>
  <c r="B309" i="86"/>
  <c r="B310" i="86"/>
  <c r="B311" i="86"/>
  <c r="B312" i="86"/>
  <c r="B313" i="86"/>
  <c r="B314" i="86"/>
  <c r="B315" i="86"/>
  <c r="B316" i="86"/>
  <c r="B317" i="86"/>
  <c r="B318" i="86"/>
  <c r="B319" i="86"/>
  <c r="B320" i="86"/>
  <c r="B321" i="86"/>
  <c r="B322" i="86"/>
  <c r="B323" i="86"/>
  <c r="B324" i="86"/>
  <c r="B325" i="86"/>
  <c r="B326" i="86"/>
  <c r="B327" i="86"/>
  <c r="B328" i="86"/>
  <c r="B329" i="86"/>
  <c r="B330" i="86"/>
  <c r="B331" i="86"/>
  <c r="B332" i="86"/>
  <c r="B333" i="86"/>
  <c r="B334" i="86"/>
  <c r="B335" i="86"/>
  <c r="B336" i="86"/>
  <c r="B337" i="86"/>
  <c r="B338" i="86"/>
  <c r="B339" i="86"/>
  <c r="B340" i="86"/>
  <c r="B341" i="86"/>
  <c r="B342" i="86"/>
  <c r="B343" i="86"/>
  <c r="B344" i="86"/>
  <c r="B345" i="86"/>
  <c r="B346" i="86"/>
  <c r="B347" i="86"/>
  <c r="B348" i="86"/>
  <c r="B349" i="86"/>
  <c r="B350" i="86"/>
  <c r="B351" i="86"/>
  <c r="B352" i="86"/>
  <c r="B353" i="86"/>
  <c r="B354" i="86"/>
  <c r="J354" i="85"/>
  <c r="B355" i="86"/>
  <c r="J355" i="85"/>
  <c r="B356" i="86"/>
  <c r="B357" i="86"/>
  <c r="B358" i="86"/>
  <c r="B359" i="86"/>
  <c r="B360" i="86"/>
  <c r="B361" i="86"/>
  <c r="B362" i="86"/>
  <c r="B363" i="86"/>
  <c r="J363" i="85"/>
  <c r="B364" i="86"/>
  <c r="B365" i="86"/>
  <c r="B366" i="86"/>
  <c r="B367" i="86"/>
  <c r="B368" i="86"/>
  <c r="B369" i="86"/>
  <c r="B370" i="86"/>
  <c r="B371" i="86"/>
  <c r="B372" i="86"/>
  <c r="B373" i="86"/>
  <c r="B374" i="86"/>
  <c r="J374" i="85"/>
  <c r="B375" i="86"/>
  <c r="J375" i="85"/>
  <c r="B376" i="86"/>
  <c r="J376" i="85"/>
  <c r="B377" i="86"/>
  <c r="J377" i="85"/>
  <c r="B378" i="86"/>
  <c r="J378" i="85"/>
  <c r="B379" i="86"/>
  <c r="B380" i="86"/>
  <c r="B381" i="86"/>
  <c r="B382" i="86"/>
  <c r="B383" i="86"/>
  <c r="B384" i="86"/>
  <c r="B385" i="86"/>
  <c r="B386" i="86"/>
  <c r="B387" i="86"/>
  <c r="B388" i="86"/>
  <c r="B389" i="86"/>
  <c r="B390" i="86"/>
  <c r="B391" i="86"/>
  <c r="B392" i="86"/>
  <c r="B393" i="86"/>
  <c r="B394" i="86"/>
  <c r="B395" i="86"/>
  <c r="B396" i="86"/>
  <c r="B397" i="86"/>
  <c r="B398" i="86"/>
  <c r="B399" i="86"/>
  <c r="B400" i="86"/>
  <c r="B401" i="86"/>
  <c r="B402" i="86"/>
  <c r="B403" i="86"/>
  <c r="B404" i="86"/>
  <c r="B405" i="86"/>
  <c r="B406" i="86"/>
  <c r="B407" i="86"/>
  <c r="B408" i="86"/>
  <c r="B409" i="86"/>
  <c r="B410" i="86"/>
  <c r="B411" i="86"/>
  <c r="B412" i="86"/>
  <c r="B413" i="86"/>
  <c r="B414" i="86"/>
  <c r="B415" i="86"/>
  <c r="B416" i="86"/>
  <c r="B417" i="86"/>
  <c r="B418" i="86"/>
  <c r="B419" i="86"/>
  <c r="B420" i="86"/>
  <c r="B421" i="86"/>
  <c r="B422" i="86"/>
  <c r="B423" i="86"/>
  <c r="B424" i="86"/>
  <c r="B425" i="86"/>
  <c r="B426" i="86"/>
  <c r="B427" i="86"/>
  <c r="B428" i="86"/>
  <c r="B429" i="86"/>
  <c r="B430" i="86"/>
  <c r="B431" i="86"/>
  <c r="B432" i="86"/>
  <c r="B433" i="86"/>
  <c r="B434" i="86"/>
  <c r="B435" i="86"/>
  <c r="B436" i="86"/>
  <c r="B437" i="86"/>
  <c r="B438" i="86"/>
  <c r="B439" i="86"/>
  <c r="B440" i="86"/>
  <c r="B441" i="86"/>
  <c r="B442" i="86"/>
  <c r="B443" i="86"/>
  <c r="B444" i="86"/>
  <c r="B445" i="86"/>
  <c r="B446" i="86"/>
  <c r="B447" i="86"/>
  <c r="B448" i="86"/>
  <c r="B449" i="86"/>
  <c r="B450" i="86"/>
  <c r="B451" i="86"/>
  <c r="B452" i="86"/>
  <c r="B453" i="86"/>
  <c r="B454" i="86"/>
  <c r="B455" i="86"/>
  <c r="B456" i="86"/>
  <c r="B457" i="86"/>
  <c r="B458" i="86"/>
  <c r="B459" i="86"/>
  <c r="B460" i="86"/>
  <c r="B461" i="86"/>
  <c r="B462" i="86"/>
  <c r="B463" i="86"/>
  <c r="B464" i="86"/>
  <c r="B465" i="86"/>
  <c r="B466" i="86"/>
  <c r="B467" i="86"/>
  <c r="B468" i="86"/>
  <c r="B469" i="86"/>
  <c r="B470" i="86"/>
  <c r="B471" i="86"/>
  <c r="B472" i="86"/>
  <c r="B473" i="86"/>
  <c r="B474" i="86"/>
  <c r="B475" i="86"/>
  <c r="B476" i="86"/>
  <c r="B477" i="86"/>
  <c r="B478" i="86"/>
  <c r="B479" i="86"/>
  <c r="B480" i="86"/>
  <c r="B481" i="86"/>
  <c r="B482" i="86"/>
  <c r="B483" i="86"/>
  <c r="B484" i="86"/>
  <c r="B485" i="86"/>
  <c r="B486" i="86"/>
  <c r="B487" i="86"/>
  <c r="B488" i="86"/>
  <c r="B489" i="86"/>
  <c r="B490" i="86"/>
  <c r="B491" i="86"/>
  <c r="B492" i="86"/>
  <c r="B493" i="86"/>
  <c r="B494" i="86"/>
  <c r="B495" i="86"/>
  <c r="B496" i="86"/>
  <c r="B497" i="86"/>
  <c r="B498" i="86"/>
  <c r="B499" i="86"/>
  <c r="A471" i="86"/>
  <c r="A472" i="86"/>
  <c r="A473" i="86"/>
  <c r="A474" i="86"/>
  <c r="A475" i="86"/>
  <c r="A476" i="86"/>
  <c r="A477" i="86"/>
  <c r="A478" i="86"/>
  <c r="A479" i="86"/>
  <c r="A480" i="86"/>
  <c r="A481" i="86"/>
  <c r="A482" i="86"/>
  <c r="A483" i="86"/>
  <c r="A484" i="86"/>
  <c r="A485" i="86"/>
  <c r="A486" i="86"/>
  <c r="A487" i="86"/>
  <c r="A488" i="86"/>
  <c r="A489" i="86"/>
  <c r="A490" i="86"/>
  <c r="A491" i="86"/>
  <c r="A492" i="86"/>
  <c r="A493" i="86"/>
  <c r="A494" i="86"/>
  <c r="A495" i="86"/>
  <c r="A496" i="86"/>
  <c r="A497" i="86"/>
  <c r="A498" i="86"/>
  <c r="A499" i="86"/>
  <c r="A500" i="86"/>
  <c r="AD23" i="85"/>
  <c r="AD22" i="85"/>
  <c r="AD21" i="85"/>
  <c r="AD20" i="85"/>
  <c r="AD19" i="85"/>
  <c r="AD18" i="85"/>
  <c r="AD17" i="85"/>
  <c r="AD16" i="85"/>
  <c r="AD15" i="85"/>
  <c r="AD14" i="85"/>
  <c r="AD13" i="85"/>
  <c r="AD12" i="85"/>
  <c r="AD11" i="85"/>
  <c r="AD10" i="85"/>
  <c r="AD9" i="85"/>
  <c r="AD8" i="85"/>
  <c r="AD7" i="85"/>
  <c r="AD6" i="85"/>
  <c r="AD5" i="85"/>
  <c r="AD4" i="85"/>
  <c r="AD3" i="85"/>
  <c r="J464" i="85"/>
  <c r="J465" i="85"/>
  <c r="J466" i="85"/>
  <c r="J467" i="85"/>
  <c r="J468" i="85"/>
  <c r="J469" i="85"/>
  <c r="J470" i="85"/>
  <c r="A467" i="86"/>
  <c r="A468" i="86"/>
  <c r="A469" i="86"/>
  <c r="A470" i="86"/>
  <c r="A461" i="86"/>
  <c r="A462" i="86"/>
  <c r="A463" i="86"/>
  <c r="A464" i="86"/>
  <c r="A465" i="86"/>
  <c r="A466" i="86"/>
  <c r="AH23" i="85"/>
  <c r="AH22" i="85"/>
  <c r="AH21" i="85"/>
  <c r="AH20" i="85"/>
  <c r="AH19" i="85"/>
  <c r="AH18" i="85"/>
  <c r="AH17" i="85"/>
  <c r="AH16" i="85"/>
  <c r="AH15" i="85"/>
  <c r="AH14" i="85"/>
  <c r="AH13" i="85"/>
  <c r="AH12" i="85"/>
  <c r="AH11" i="85"/>
  <c r="AH10" i="85"/>
  <c r="AH9" i="85"/>
  <c r="AH8" i="85"/>
  <c r="AH7" i="85"/>
  <c r="AH6" i="85"/>
  <c r="AH5" i="85"/>
  <c r="AH4" i="85"/>
  <c r="O274" i="85"/>
  <c r="O275" i="85"/>
  <c r="O276" i="85"/>
  <c r="O277" i="85"/>
  <c r="B184" i="86"/>
  <c r="B183" i="86"/>
  <c r="B182" i="86"/>
  <c r="B181" i="86"/>
  <c r="B180" i="86"/>
  <c r="B179" i="86"/>
  <c r="B178" i="86"/>
  <c r="B177" i="86"/>
  <c r="B176" i="86"/>
  <c r="B175" i="86"/>
  <c r="B174" i="86"/>
  <c r="B173" i="86"/>
  <c r="B172" i="86"/>
  <c r="B171" i="86"/>
  <c r="B170" i="86"/>
  <c r="B169" i="86"/>
  <c r="B168" i="86"/>
  <c r="B167" i="86"/>
  <c r="B166" i="86"/>
  <c r="B165" i="86"/>
  <c r="B164" i="86"/>
  <c r="B163" i="86"/>
  <c r="B162" i="86"/>
  <c r="B161" i="86"/>
  <c r="B160" i="86"/>
  <c r="B159" i="86"/>
  <c r="B158" i="86"/>
  <c r="B157" i="86"/>
  <c r="B156" i="86"/>
  <c r="B155" i="86"/>
  <c r="B154" i="86"/>
  <c r="B153" i="86"/>
  <c r="B152" i="86"/>
  <c r="B151" i="86"/>
  <c r="B150" i="86"/>
  <c r="B149" i="86"/>
  <c r="B148" i="86"/>
  <c r="B147" i="86"/>
  <c r="B146" i="86"/>
  <c r="B145" i="86"/>
  <c r="B144" i="86"/>
  <c r="B143" i="86"/>
  <c r="B142" i="86"/>
  <c r="B141" i="86"/>
  <c r="B140" i="86"/>
  <c r="B139" i="86"/>
  <c r="B138" i="86"/>
  <c r="B216" i="86"/>
  <c r="B220" i="86"/>
  <c r="B221" i="86"/>
  <c r="B227" i="86"/>
  <c r="B228" i="86"/>
  <c r="B231" i="86"/>
  <c r="B232" i="86"/>
  <c r="B233" i="86"/>
  <c r="J242" i="85"/>
  <c r="J244" i="85"/>
  <c r="B215" i="86"/>
  <c r="B217" i="86"/>
  <c r="B218" i="86"/>
  <c r="B219" i="86"/>
  <c r="B222" i="86"/>
  <c r="B223" i="86"/>
  <c r="B224" i="86"/>
  <c r="J224" i="85"/>
  <c r="B225" i="86"/>
  <c r="J225" i="85"/>
  <c r="B226" i="86"/>
  <c r="B229" i="86"/>
  <c r="B230" i="86"/>
  <c r="B204" i="86"/>
  <c r="B208" i="86"/>
  <c r="B209" i="86"/>
  <c r="B203" i="86"/>
  <c r="B205" i="86"/>
  <c r="B206" i="86"/>
  <c r="B207" i="86"/>
  <c r="B210" i="86"/>
  <c r="B211" i="86"/>
  <c r="B212" i="86"/>
  <c r="B213" i="86"/>
  <c r="B214" i="86"/>
  <c r="B198" i="86"/>
  <c r="B202" i="86"/>
  <c r="B197" i="86"/>
  <c r="B199" i="86"/>
  <c r="J199" i="85"/>
  <c r="B200" i="86"/>
  <c r="B201" i="86"/>
  <c r="J212" i="85"/>
  <c r="B191" i="86"/>
  <c r="B195" i="86"/>
  <c r="B196" i="86"/>
  <c r="B190" i="86"/>
  <c r="B192" i="86"/>
  <c r="B193" i="86"/>
  <c r="B194" i="86"/>
  <c r="B65" i="86"/>
  <c r="B187" i="86"/>
  <c r="B186" i="86"/>
  <c r="B188" i="86"/>
  <c r="B189" i="86"/>
  <c r="J182" i="85"/>
  <c r="B185" i="86"/>
  <c r="B97" i="86"/>
  <c r="B96" i="86"/>
  <c r="J179" i="85"/>
  <c r="B137" i="86"/>
  <c r="B136" i="86"/>
  <c r="B135" i="86"/>
  <c r="B134" i="86"/>
  <c r="B133" i="86"/>
  <c r="B132" i="86"/>
  <c r="B131" i="86"/>
  <c r="B130" i="86"/>
  <c r="B129" i="86"/>
  <c r="B128" i="86"/>
  <c r="B127" i="86"/>
  <c r="B126" i="86"/>
  <c r="B125" i="86"/>
  <c r="B124" i="86"/>
  <c r="B123" i="86"/>
  <c r="B122" i="86"/>
  <c r="B121" i="86"/>
  <c r="B120" i="86"/>
  <c r="B119" i="86"/>
  <c r="B118" i="86"/>
  <c r="B117" i="86"/>
  <c r="B116" i="86"/>
  <c r="B115" i="86"/>
  <c r="B114" i="86"/>
  <c r="B113" i="86"/>
  <c r="B112" i="86"/>
  <c r="B111" i="86"/>
  <c r="B110" i="86"/>
  <c r="B109" i="86"/>
  <c r="B108" i="86"/>
  <c r="B107" i="86"/>
  <c r="B106" i="86"/>
  <c r="B105" i="86"/>
  <c r="B104" i="86"/>
  <c r="B103" i="86"/>
  <c r="B102" i="86"/>
  <c r="B101" i="86"/>
  <c r="B100" i="86"/>
  <c r="B99" i="86"/>
  <c r="B98" i="86"/>
  <c r="J177" i="85"/>
  <c r="B95" i="86"/>
  <c r="B94" i="86"/>
  <c r="B91" i="86"/>
  <c r="B93" i="86"/>
  <c r="B92" i="86"/>
  <c r="B90" i="86"/>
  <c r="B89" i="86"/>
  <c r="B88" i="86"/>
  <c r="B87" i="86"/>
  <c r="B86" i="86"/>
  <c r="B85" i="86"/>
  <c r="B84" i="86"/>
  <c r="B83" i="86"/>
  <c r="B82" i="86"/>
  <c r="B81" i="86"/>
  <c r="B80" i="86"/>
  <c r="J80" i="85"/>
  <c r="B79" i="86"/>
  <c r="J79" i="85"/>
  <c r="B78" i="86"/>
  <c r="B77" i="86"/>
  <c r="B76" i="86"/>
  <c r="B75" i="86"/>
  <c r="B74" i="86"/>
  <c r="B73" i="86"/>
  <c r="B72" i="86"/>
  <c r="O72" i="85"/>
  <c r="B70" i="86"/>
  <c r="B68" i="86"/>
  <c r="B69" i="86"/>
  <c r="B71" i="86"/>
  <c r="B53" i="86"/>
  <c r="B52" i="86"/>
  <c r="J52" i="85"/>
  <c r="B51" i="86"/>
  <c r="B50" i="86"/>
  <c r="B49" i="86"/>
  <c r="B48" i="86"/>
  <c r="B47" i="86"/>
  <c r="B46" i="86"/>
  <c r="B45" i="86"/>
  <c r="B44" i="86"/>
  <c r="B43" i="86"/>
  <c r="B42" i="86"/>
  <c r="B41" i="86"/>
  <c r="B40" i="86"/>
  <c r="B39" i="86"/>
  <c r="B38" i="86"/>
  <c r="B37" i="86"/>
  <c r="B36" i="86"/>
  <c r="B35" i="86"/>
  <c r="B34" i="86"/>
  <c r="B33" i="86"/>
  <c r="B32" i="86"/>
  <c r="B31" i="86"/>
  <c r="B30" i="86"/>
  <c r="B29" i="86"/>
  <c r="B28" i="86"/>
  <c r="B27" i="86"/>
  <c r="B26" i="86"/>
  <c r="B25" i="86"/>
  <c r="B24" i="86"/>
  <c r="G23" i="85"/>
  <c r="AF23" i="85" a="1"/>
  <c r="AF23" i="85"/>
  <c r="B23" i="86"/>
  <c r="G22" i="85"/>
  <c r="AF22" i="85" a="1"/>
  <c r="AF22" i="85"/>
  <c r="AJ22" i="85"/>
  <c r="B22" i="86"/>
  <c r="AK22" i="85"/>
  <c r="G21" i="85"/>
  <c r="AF21" i="85" a="1"/>
  <c r="AF21" i="85"/>
  <c r="B21" i="86"/>
  <c r="G20" i="85"/>
  <c r="AF20" i="85" a="1"/>
  <c r="AF20" i="85"/>
  <c r="AJ20" i="85"/>
  <c r="B20" i="86"/>
  <c r="G19" i="85"/>
  <c r="AF19" i="85" a="1"/>
  <c r="AF19" i="85"/>
  <c r="B19" i="86"/>
  <c r="G18" i="85"/>
  <c r="AF18" i="85" a="1"/>
  <c r="AF18" i="85"/>
  <c r="AJ18" i="85"/>
  <c r="B18" i="86"/>
  <c r="G17" i="85"/>
  <c r="AF17" i="85" a="1"/>
  <c r="AF17" i="85"/>
  <c r="B17" i="86"/>
  <c r="G16" i="85"/>
  <c r="AF16" i="85" a="1"/>
  <c r="AF16" i="85"/>
  <c r="AJ16" i="85"/>
  <c r="B16" i="86"/>
  <c r="G15" i="85"/>
  <c r="AF15" i="85" a="1"/>
  <c r="AF15" i="85"/>
  <c r="B15" i="86"/>
  <c r="AK15" i="85"/>
  <c r="G14" i="85"/>
  <c r="AF14" i="85" a="1"/>
  <c r="AF14" i="85"/>
  <c r="AJ14" i="85"/>
  <c r="B14" i="86"/>
  <c r="G13" i="85"/>
  <c r="AF13" i="85" a="1"/>
  <c r="AF13" i="85"/>
  <c r="B13" i="86"/>
  <c r="G12" i="85"/>
  <c r="AF12" i="85" a="1"/>
  <c r="AF12" i="85"/>
  <c r="AJ12" i="85"/>
  <c r="B12" i="86"/>
  <c r="G11" i="85"/>
  <c r="AF11" i="85" a="1"/>
  <c r="AF11" i="85"/>
  <c r="B11" i="86"/>
  <c r="AK11" i="85"/>
  <c r="G10" i="85"/>
  <c r="AF10" i="85" a="1"/>
  <c r="AF10" i="85"/>
  <c r="AJ10" i="85"/>
  <c r="B10" i="86"/>
  <c r="AK10" i="85"/>
  <c r="G9" i="85"/>
  <c r="AF9" i="85" a="1"/>
  <c r="AF9" i="85"/>
  <c r="B9" i="86"/>
  <c r="G8" i="85"/>
  <c r="AF8" i="85" a="1"/>
  <c r="AF8" i="85"/>
  <c r="AJ8" i="85"/>
  <c r="B8" i="86"/>
  <c r="G7" i="85"/>
  <c r="AF7" i="85" a="1"/>
  <c r="AF7" i="85"/>
  <c r="B7" i="86"/>
  <c r="G6" i="85"/>
  <c r="AF6" i="85" a="1"/>
  <c r="AF6" i="85"/>
  <c r="AJ6" i="85"/>
  <c r="B6" i="86"/>
  <c r="AK6" i="85"/>
  <c r="G5" i="85"/>
  <c r="AF5" i="85" a="1"/>
  <c r="AF5" i="85"/>
  <c r="B5" i="86"/>
  <c r="AK5" i="85"/>
  <c r="G4" i="85"/>
  <c r="AF4" i="85" a="1"/>
  <c r="AF4" i="85"/>
  <c r="AJ4" i="85"/>
  <c r="B4" i="86"/>
  <c r="AH3" i="85"/>
  <c r="G3" i="85"/>
  <c r="AF3" i="85" a="1"/>
  <c r="AF3" i="85"/>
  <c r="B3" i="86"/>
  <c r="I3" i="85"/>
  <c r="AK3" i="85"/>
  <c r="B61" i="86"/>
  <c r="B60" i="86"/>
  <c r="B59" i="86"/>
  <c r="B58" i="86"/>
  <c r="B57" i="86"/>
  <c r="B56" i="86"/>
  <c r="B67" i="86"/>
  <c r="B66" i="86"/>
  <c r="B64" i="86"/>
  <c r="B63" i="86"/>
  <c r="B62" i="86"/>
  <c r="B55" i="86"/>
  <c r="J55" i="85"/>
  <c r="B54" i="86"/>
  <c r="J15" i="85"/>
  <c r="J26" i="85"/>
  <c r="J31" i="85"/>
  <c r="J42" i="85"/>
  <c r="J47" i="85"/>
  <c r="J50" i="85"/>
  <c r="J59" i="85"/>
  <c r="J67" i="85"/>
  <c r="J75" i="85"/>
  <c r="J78" i="85"/>
  <c r="J82" i="85"/>
  <c r="J83" i="85"/>
  <c r="J86" i="85"/>
  <c r="J90" i="85"/>
  <c r="J123" i="85"/>
  <c r="J126" i="85"/>
  <c r="J130" i="85"/>
  <c r="J134" i="85"/>
  <c r="J135" i="85"/>
  <c r="J136" i="85"/>
  <c r="J146" i="85"/>
  <c r="J147" i="85"/>
  <c r="J150" i="85"/>
  <c r="J151" i="85"/>
  <c r="J153" i="85"/>
  <c r="J155" i="85"/>
  <c r="J158" i="85"/>
  <c r="J162" i="85"/>
  <c r="J163" i="85"/>
  <c r="J165" i="85"/>
  <c r="J166" i="85"/>
  <c r="J169" i="85"/>
  <c r="J170" i="85"/>
  <c r="J173" i="85"/>
  <c r="J175" i="85"/>
  <c r="J180" i="85"/>
  <c r="J185" i="85"/>
  <c r="J189" i="85"/>
  <c r="J254" i="85"/>
  <c r="J352" i="85"/>
  <c r="J358" i="85"/>
  <c r="J360" i="85"/>
  <c r="J366" i="85"/>
  <c r="J368" i="85"/>
  <c r="J370" i="85"/>
  <c r="J382" i="85"/>
  <c r="J384" i="85"/>
  <c r="J390" i="85"/>
  <c r="J392" i="85"/>
  <c r="J398" i="85"/>
  <c r="J400" i="85"/>
  <c r="J402" i="85"/>
  <c r="J404" i="85"/>
  <c r="J411" i="85"/>
  <c r="J418" i="85"/>
  <c r="J419" i="85"/>
  <c r="J427" i="85"/>
  <c r="J438" i="85"/>
  <c r="J441" i="85"/>
  <c r="J451" i="85"/>
  <c r="J461" i="85"/>
  <c r="J462" i="85"/>
  <c r="J463" i="85"/>
  <c r="J471" i="85"/>
  <c r="J472" i="85"/>
  <c r="J473" i="85"/>
  <c r="J474" i="85"/>
  <c r="J475" i="85"/>
  <c r="J476" i="85"/>
  <c r="J477" i="85"/>
  <c r="J478" i="85"/>
  <c r="J479" i="85"/>
  <c r="J480" i="85"/>
  <c r="J481" i="85"/>
  <c r="J482" i="85"/>
  <c r="J483" i="85"/>
  <c r="J484" i="85"/>
  <c r="J485" i="85"/>
  <c r="J486" i="85"/>
  <c r="J487" i="85"/>
  <c r="J488" i="85"/>
  <c r="J489" i="85"/>
  <c r="J490" i="85"/>
  <c r="J491" i="85"/>
  <c r="J492" i="85"/>
  <c r="J493" i="85"/>
  <c r="J494" i="85"/>
  <c r="J495" i="85"/>
  <c r="J496" i="85"/>
  <c r="J497" i="85"/>
  <c r="J498" i="85"/>
  <c r="J499" i="85"/>
  <c r="J500" i="85"/>
  <c r="J502" i="85"/>
  <c r="J503" i="85"/>
  <c r="J504" i="85"/>
  <c r="J506" i="85"/>
  <c r="J507" i="85"/>
  <c r="J508" i="85"/>
  <c r="J509" i="85"/>
  <c r="J510" i="85"/>
  <c r="J511" i="85"/>
  <c r="J512" i="85"/>
  <c r="J513" i="85"/>
  <c r="J514" i="85"/>
  <c r="J515" i="85"/>
  <c r="J516" i="85"/>
  <c r="J517" i="85"/>
  <c r="J518" i="85"/>
  <c r="J519" i="85"/>
  <c r="J520" i="85"/>
  <c r="J521" i="85"/>
  <c r="J522" i="85"/>
  <c r="J523" i="85"/>
  <c r="J524" i="85"/>
  <c r="J525" i="85"/>
  <c r="J526" i="85"/>
  <c r="J527" i="85"/>
  <c r="J528" i="85"/>
  <c r="J529" i="85"/>
  <c r="J530" i="85"/>
  <c r="J531" i="85"/>
  <c r="J532" i="85"/>
  <c r="J533" i="85"/>
  <c r="J534" i="85"/>
  <c r="J535" i="85"/>
  <c r="J536" i="85"/>
  <c r="J538" i="85"/>
  <c r="J539" i="85"/>
  <c r="J540" i="85"/>
  <c r="J541" i="85"/>
  <c r="J542" i="85"/>
  <c r="J543" i="85"/>
  <c r="J544" i="85"/>
  <c r="J545" i="85"/>
  <c r="J546" i="85"/>
  <c r="J547" i="85"/>
  <c r="J548" i="85"/>
  <c r="J549" i="85"/>
  <c r="J550" i="85"/>
  <c r="J551" i="85"/>
  <c r="J552" i="85"/>
  <c r="J553" i="85"/>
  <c r="J554" i="85"/>
  <c r="J555" i="85"/>
  <c r="J556" i="85"/>
  <c r="J557" i="85"/>
  <c r="J558" i="85"/>
  <c r="J559" i="85"/>
  <c r="J560" i="85"/>
  <c r="J561" i="85"/>
  <c r="J562" i="85"/>
  <c r="J563" i="85"/>
  <c r="J564" i="85"/>
  <c r="J565" i="85"/>
  <c r="J566" i="85"/>
  <c r="J567" i="85"/>
  <c r="J568" i="85"/>
  <c r="J569" i="85"/>
  <c r="J570" i="85"/>
  <c r="J571" i="85"/>
  <c r="J576" i="85"/>
  <c r="J577" i="85"/>
  <c r="J578" i="85"/>
  <c r="J579" i="85"/>
  <c r="J580" i="85"/>
  <c r="J581" i="85"/>
  <c r="J582" i="85"/>
  <c r="J585" i="85"/>
  <c r="J587" i="85"/>
  <c r="J588" i="85"/>
  <c r="J589" i="85"/>
  <c r="F4" i="85"/>
  <c r="F5" i="85"/>
  <c r="F6" i="85"/>
  <c r="F7" i="85"/>
  <c r="F8" i="85"/>
  <c r="F9" i="85"/>
  <c r="F10" i="85"/>
  <c r="F11" i="85"/>
  <c r="F12" i="85"/>
  <c r="F13" i="85"/>
  <c r="F14" i="85"/>
  <c r="F15" i="85"/>
  <c r="F16" i="85"/>
  <c r="F17" i="85"/>
  <c r="F18" i="85"/>
  <c r="F19" i="85"/>
  <c r="F20" i="85"/>
  <c r="F21" i="85"/>
  <c r="F22" i="85"/>
  <c r="F23" i="85"/>
  <c r="F24" i="85"/>
  <c r="F25" i="85"/>
  <c r="F26" i="85"/>
  <c r="F27" i="85"/>
  <c r="F28" i="85"/>
  <c r="F29" i="85"/>
  <c r="F30" i="85"/>
  <c r="F31" i="85"/>
  <c r="F32" i="85"/>
  <c r="F33" i="85"/>
  <c r="F34" i="85"/>
  <c r="F35" i="85"/>
  <c r="F36" i="85"/>
  <c r="F37" i="85"/>
  <c r="F38" i="85"/>
  <c r="F39" i="85"/>
  <c r="F40" i="85"/>
  <c r="F41" i="85"/>
  <c r="F42" i="85"/>
  <c r="F43" i="85"/>
  <c r="F44" i="85"/>
  <c r="F45" i="85"/>
  <c r="F46" i="85"/>
  <c r="F47" i="85"/>
  <c r="F48" i="85"/>
  <c r="F49" i="85"/>
  <c r="F50" i="85"/>
  <c r="F51" i="85"/>
  <c r="F52" i="85"/>
  <c r="F53" i="85"/>
  <c r="F54" i="85"/>
  <c r="F55" i="85"/>
  <c r="F56" i="85"/>
  <c r="F57" i="85"/>
  <c r="F58" i="85"/>
  <c r="F59" i="85"/>
  <c r="F60" i="85"/>
  <c r="F61" i="85"/>
  <c r="F62" i="85"/>
  <c r="F63" i="85"/>
  <c r="F64" i="85"/>
  <c r="F65" i="85"/>
  <c r="F66" i="85"/>
  <c r="F67" i="85"/>
  <c r="F68" i="85"/>
  <c r="F69" i="85"/>
  <c r="F70" i="85"/>
  <c r="F71" i="85"/>
  <c r="F72" i="85"/>
  <c r="F73" i="85"/>
  <c r="F74" i="85"/>
  <c r="F75" i="85"/>
  <c r="F76" i="85"/>
  <c r="F77" i="85"/>
  <c r="F78" i="85"/>
  <c r="F79" i="85"/>
  <c r="F80" i="85"/>
  <c r="F81" i="85"/>
  <c r="F82" i="85"/>
  <c r="F83" i="85"/>
  <c r="F84" i="85"/>
  <c r="F85" i="85"/>
  <c r="F86" i="85"/>
  <c r="F87" i="85"/>
  <c r="F88" i="85"/>
  <c r="F89" i="85"/>
  <c r="F90" i="85"/>
  <c r="F91" i="85"/>
  <c r="F92" i="85"/>
  <c r="F93" i="85"/>
  <c r="F94" i="85"/>
  <c r="F95" i="85"/>
  <c r="F96" i="85"/>
  <c r="F97" i="85"/>
  <c r="F98" i="85"/>
  <c r="F99" i="85"/>
  <c r="F100" i="85"/>
  <c r="F101" i="85"/>
  <c r="F102" i="85"/>
  <c r="F103" i="85"/>
  <c r="F104" i="85"/>
  <c r="F105" i="85"/>
  <c r="F106" i="85"/>
  <c r="F107" i="85"/>
  <c r="F108" i="85"/>
  <c r="F109" i="85"/>
  <c r="F110" i="85"/>
  <c r="F111" i="85"/>
  <c r="F112" i="85"/>
  <c r="F113" i="85"/>
  <c r="F114" i="85"/>
  <c r="F115" i="85"/>
  <c r="F116" i="85"/>
  <c r="F117" i="85"/>
  <c r="F118" i="85"/>
  <c r="F119" i="85"/>
  <c r="F120" i="85"/>
  <c r="F121" i="85"/>
  <c r="F122" i="85"/>
  <c r="F123" i="85"/>
  <c r="F124" i="85"/>
  <c r="F125" i="85"/>
  <c r="F126" i="85"/>
  <c r="F127" i="85"/>
  <c r="F128" i="85"/>
  <c r="F129" i="85"/>
  <c r="F130" i="85"/>
  <c r="F131" i="85"/>
  <c r="F132" i="85"/>
  <c r="F133" i="85"/>
  <c r="F134" i="85"/>
  <c r="F135" i="85"/>
  <c r="F136" i="85"/>
  <c r="F137" i="85"/>
  <c r="F138" i="85"/>
  <c r="F139" i="85"/>
  <c r="F140" i="85"/>
  <c r="F141" i="85"/>
  <c r="F142" i="85"/>
  <c r="F143" i="85"/>
  <c r="F144" i="85"/>
  <c r="F145" i="85"/>
  <c r="F146" i="85"/>
  <c r="F147" i="85"/>
  <c r="F148" i="85"/>
  <c r="F149" i="85"/>
  <c r="F150" i="85"/>
  <c r="F151" i="85"/>
  <c r="F152" i="85"/>
  <c r="F153" i="85"/>
  <c r="F154" i="85"/>
  <c r="F155" i="85"/>
  <c r="F156" i="85"/>
  <c r="F157" i="85"/>
  <c r="F158" i="85"/>
  <c r="F159" i="85"/>
  <c r="F160" i="85"/>
  <c r="F161" i="85"/>
  <c r="F162" i="85"/>
  <c r="F163" i="85"/>
  <c r="F164" i="85"/>
  <c r="F165" i="85"/>
  <c r="F166" i="85"/>
  <c r="F167" i="85"/>
  <c r="F168" i="85"/>
  <c r="F169" i="85"/>
  <c r="F170" i="85"/>
  <c r="F171" i="85"/>
  <c r="F172" i="85"/>
  <c r="F173" i="85"/>
  <c r="F174" i="85"/>
  <c r="F175" i="85"/>
  <c r="F176" i="85"/>
  <c r="F177" i="85"/>
  <c r="F178" i="85"/>
  <c r="F179" i="85"/>
  <c r="F180" i="85"/>
  <c r="F181" i="85"/>
  <c r="F182" i="85"/>
  <c r="F183" i="85"/>
  <c r="F184" i="85"/>
  <c r="F185" i="85"/>
  <c r="F186" i="85"/>
  <c r="F187" i="85"/>
  <c r="F188" i="85"/>
  <c r="F189" i="85"/>
  <c r="F190" i="85"/>
  <c r="F191" i="85"/>
  <c r="F192" i="85"/>
  <c r="F193" i="85"/>
  <c r="F194" i="85"/>
  <c r="F195" i="85"/>
  <c r="F196" i="85"/>
  <c r="F197" i="85"/>
  <c r="F198" i="85"/>
  <c r="F199" i="85"/>
  <c r="F200" i="85"/>
  <c r="F201" i="85"/>
  <c r="F202" i="85"/>
  <c r="F203" i="85"/>
  <c r="F204" i="85"/>
  <c r="F205" i="85"/>
  <c r="F206" i="85"/>
  <c r="F207" i="85"/>
  <c r="F208" i="85"/>
  <c r="F209" i="85"/>
  <c r="F210" i="85"/>
  <c r="F211" i="85"/>
  <c r="F212" i="85"/>
  <c r="F213" i="85"/>
  <c r="F214" i="85"/>
  <c r="F215" i="85"/>
  <c r="F216" i="85"/>
  <c r="F217" i="85"/>
  <c r="F218" i="85"/>
  <c r="F219" i="85"/>
  <c r="F220" i="85"/>
  <c r="F221" i="85"/>
  <c r="F222" i="85"/>
  <c r="F223" i="85"/>
  <c r="F224" i="85"/>
  <c r="F225" i="85"/>
  <c r="F226" i="85"/>
  <c r="F227" i="85"/>
  <c r="F228" i="85"/>
  <c r="F229" i="85"/>
  <c r="F230" i="85"/>
  <c r="F231" i="85"/>
  <c r="F232" i="85"/>
  <c r="F233" i="85"/>
  <c r="F234" i="85"/>
  <c r="F235" i="85"/>
  <c r="F236" i="85"/>
  <c r="F237" i="85"/>
  <c r="F238" i="85"/>
  <c r="F239" i="85"/>
  <c r="F240" i="85"/>
  <c r="F241" i="85"/>
  <c r="F242" i="85"/>
  <c r="F243" i="85"/>
  <c r="F244" i="85"/>
  <c r="F245" i="85"/>
  <c r="F246" i="85"/>
  <c r="F247" i="85"/>
  <c r="F248" i="85"/>
  <c r="F249" i="85"/>
  <c r="F250" i="85"/>
  <c r="F251" i="85"/>
  <c r="F252" i="85"/>
  <c r="F253" i="85"/>
  <c r="F254" i="85"/>
  <c r="F255" i="85"/>
  <c r="F256" i="85"/>
  <c r="F257" i="85"/>
  <c r="F258" i="85"/>
  <c r="F259" i="85"/>
  <c r="F260" i="85"/>
  <c r="F261" i="85"/>
  <c r="F262" i="85"/>
  <c r="F263" i="85"/>
  <c r="F264" i="85"/>
  <c r="F265" i="85"/>
  <c r="F266" i="85"/>
  <c r="F267" i="85"/>
  <c r="F268" i="85"/>
  <c r="F269" i="85"/>
  <c r="F270" i="85"/>
  <c r="F271" i="85"/>
  <c r="F272" i="85"/>
  <c r="F273" i="85"/>
  <c r="F274" i="85"/>
  <c r="F275" i="85"/>
  <c r="F276" i="85"/>
  <c r="F277" i="85"/>
  <c r="F278" i="85"/>
  <c r="F279" i="85"/>
  <c r="F280" i="85"/>
  <c r="F281" i="85"/>
  <c r="F282" i="85"/>
  <c r="F283" i="85"/>
  <c r="F284" i="85"/>
  <c r="F285" i="85"/>
  <c r="F286" i="85"/>
  <c r="F287" i="85"/>
  <c r="F288" i="85"/>
  <c r="F289" i="85"/>
  <c r="F290" i="85"/>
  <c r="F291" i="85"/>
  <c r="F292" i="85"/>
  <c r="F293" i="85"/>
  <c r="F294" i="85"/>
  <c r="F295" i="85"/>
  <c r="F296" i="85"/>
  <c r="F297" i="85"/>
  <c r="F298" i="85"/>
  <c r="F299" i="85"/>
  <c r="F300" i="85"/>
  <c r="F301" i="85"/>
  <c r="F302" i="85"/>
  <c r="F303" i="85"/>
  <c r="F304" i="85"/>
  <c r="F305" i="85"/>
  <c r="F306" i="85"/>
  <c r="F307" i="85"/>
  <c r="F308" i="85"/>
  <c r="F309" i="85"/>
  <c r="F310" i="85"/>
  <c r="F311" i="85"/>
  <c r="F312" i="85"/>
  <c r="F313" i="85"/>
  <c r="F314" i="85"/>
  <c r="F315" i="85"/>
  <c r="F316" i="85"/>
  <c r="F317" i="85"/>
  <c r="F318" i="85"/>
  <c r="F319" i="85"/>
  <c r="F320" i="85"/>
  <c r="F321" i="85"/>
  <c r="F322" i="85"/>
  <c r="F323" i="85"/>
  <c r="F324" i="85"/>
  <c r="F325" i="85"/>
  <c r="F326" i="85"/>
  <c r="F327" i="85"/>
  <c r="F328" i="85"/>
  <c r="F329" i="85"/>
  <c r="F330" i="85"/>
  <c r="F331" i="85"/>
  <c r="F332" i="85"/>
  <c r="F333" i="85"/>
  <c r="F334" i="85"/>
  <c r="F335" i="85"/>
  <c r="F336" i="85"/>
  <c r="F337" i="85"/>
  <c r="F338" i="85"/>
  <c r="F339" i="85"/>
  <c r="F340" i="85"/>
  <c r="F341" i="85"/>
  <c r="F342" i="85"/>
  <c r="F343" i="85"/>
  <c r="F344" i="85"/>
  <c r="F345" i="85"/>
  <c r="F346" i="85"/>
  <c r="F347" i="85"/>
  <c r="F348" i="85"/>
  <c r="F349" i="85"/>
  <c r="F350" i="85"/>
  <c r="F351" i="85"/>
  <c r="F352" i="85"/>
  <c r="F353" i="85"/>
  <c r="F354" i="85"/>
  <c r="F355" i="85"/>
  <c r="F356" i="85"/>
  <c r="F357" i="85"/>
  <c r="F358" i="85"/>
  <c r="F359" i="85"/>
  <c r="F360" i="85"/>
  <c r="F361" i="85"/>
  <c r="F362" i="85"/>
  <c r="F363" i="85"/>
  <c r="F364" i="85"/>
  <c r="F365" i="85"/>
  <c r="F366" i="85"/>
  <c r="F367" i="85"/>
  <c r="F368" i="85"/>
  <c r="F369" i="85"/>
  <c r="F370" i="85"/>
  <c r="F371" i="85"/>
  <c r="F372" i="85"/>
  <c r="F373" i="85"/>
  <c r="F374" i="85"/>
  <c r="F375" i="85"/>
  <c r="F376" i="85"/>
  <c r="F377" i="85"/>
  <c r="F378" i="85"/>
  <c r="F379" i="85"/>
  <c r="F380" i="85"/>
  <c r="F381" i="85"/>
  <c r="F382" i="85"/>
  <c r="F383" i="85"/>
  <c r="F384" i="85"/>
  <c r="F385" i="85"/>
  <c r="F386" i="85"/>
  <c r="F387" i="85"/>
  <c r="F388" i="85"/>
  <c r="F389" i="85"/>
  <c r="F390" i="85"/>
  <c r="F391" i="85"/>
  <c r="F392" i="85"/>
  <c r="F393" i="85"/>
  <c r="F394" i="85"/>
  <c r="F395" i="85"/>
  <c r="F396" i="85"/>
  <c r="F397" i="85"/>
  <c r="F398" i="85"/>
  <c r="F399" i="85"/>
  <c r="F400" i="85"/>
  <c r="F401" i="85"/>
  <c r="F402" i="85"/>
  <c r="F403" i="85"/>
  <c r="F404" i="85"/>
  <c r="F405" i="85"/>
  <c r="F406" i="85"/>
  <c r="F407" i="85"/>
  <c r="F408" i="85"/>
  <c r="F409" i="85"/>
  <c r="F410" i="85"/>
  <c r="F411" i="85"/>
  <c r="F412" i="85"/>
  <c r="F413" i="85"/>
  <c r="F414" i="85"/>
  <c r="F415" i="85"/>
  <c r="F416" i="85"/>
  <c r="F417" i="85"/>
  <c r="F418" i="85"/>
  <c r="F419" i="85"/>
  <c r="F420" i="85"/>
  <c r="F421" i="85"/>
  <c r="F422" i="85"/>
  <c r="F423" i="85"/>
  <c r="F424" i="85"/>
  <c r="F425" i="85"/>
  <c r="F426" i="85"/>
  <c r="F427" i="85"/>
  <c r="F428" i="85"/>
  <c r="F429" i="85"/>
  <c r="F430" i="85"/>
  <c r="F431" i="85"/>
  <c r="F432" i="85"/>
  <c r="F433" i="85"/>
  <c r="F434" i="85"/>
  <c r="F435" i="85"/>
  <c r="F436" i="85"/>
  <c r="F437" i="85"/>
  <c r="F438" i="85"/>
  <c r="F439" i="85"/>
  <c r="F440" i="85"/>
  <c r="F441" i="85"/>
  <c r="F442" i="85"/>
  <c r="F443" i="85"/>
  <c r="F444" i="85"/>
  <c r="F445" i="85"/>
  <c r="F446" i="85"/>
  <c r="F447" i="85"/>
  <c r="F448" i="85"/>
  <c r="F449" i="85"/>
  <c r="F450" i="85"/>
  <c r="F451" i="85"/>
  <c r="F452" i="85"/>
  <c r="F453" i="85"/>
  <c r="F454" i="85"/>
  <c r="F455" i="85"/>
  <c r="F456" i="85"/>
  <c r="F457" i="85"/>
  <c r="F458" i="85"/>
  <c r="F459" i="85"/>
  <c r="F460" i="85"/>
  <c r="F3" i="85"/>
  <c r="H42" i="85"/>
  <c r="Y42" i="85"/>
  <c r="Z42" i="85"/>
  <c r="H49" i="85"/>
  <c r="Y49" i="85"/>
  <c r="Z49" i="85"/>
  <c r="H51" i="85"/>
  <c r="Y51" i="85"/>
  <c r="Z51" i="85"/>
  <c r="H53" i="85"/>
  <c r="Y53" i="85"/>
  <c r="Z53" i="85"/>
  <c r="H65" i="85"/>
  <c r="Y65" i="85"/>
  <c r="Z65" i="85"/>
  <c r="A381" i="86"/>
  <c r="A381" i="85"/>
  <c r="A382" i="86"/>
  <c r="A382" i="85"/>
  <c r="A383" i="86"/>
  <c r="A383" i="85"/>
  <c r="A384" i="86"/>
  <c r="A384" i="85"/>
  <c r="A385" i="86"/>
  <c r="A385" i="85"/>
  <c r="A386" i="86"/>
  <c r="A386" i="85"/>
  <c r="A387" i="86"/>
  <c r="A387" i="85"/>
  <c r="A388" i="86"/>
  <c r="A388" i="85"/>
  <c r="A389" i="86"/>
  <c r="A389" i="85"/>
  <c r="A390" i="86"/>
  <c r="A390" i="85"/>
  <c r="A391" i="86"/>
  <c r="A391" i="85"/>
  <c r="A392" i="86"/>
  <c r="A392" i="85"/>
  <c r="A393" i="86"/>
  <c r="A393" i="85"/>
  <c r="A394" i="86"/>
  <c r="A394" i="85"/>
  <c r="A395" i="86"/>
  <c r="A395" i="85"/>
  <c r="A396" i="86"/>
  <c r="A396" i="85"/>
  <c r="A397" i="86"/>
  <c r="A397" i="85"/>
  <c r="A398" i="86"/>
  <c r="A398" i="85"/>
  <c r="A399" i="86"/>
  <c r="A399" i="85"/>
  <c r="A400" i="86"/>
  <c r="A400" i="85"/>
  <c r="A401" i="86"/>
  <c r="A401" i="85"/>
  <c r="A402" i="86"/>
  <c r="A402" i="85"/>
  <c r="A403" i="86"/>
  <c r="A403" i="85"/>
  <c r="A404" i="86"/>
  <c r="A404" i="85"/>
  <c r="A405" i="86"/>
  <c r="A405" i="85"/>
  <c r="A406" i="86"/>
  <c r="A406" i="85"/>
  <c r="A407" i="86"/>
  <c r="A407" i="85"/>
  <c r="A408" i="86"/>
  <c r="A408" i="85"/>
  <c r="A409" i="86"/>
  <c r="A409" i="85"/>
  <c r="A410" i="86"/>
  <c r="A410" i="85"/>
  <c r="A411" i="86"/>
  <c r="A411" i="85"/>
  <c r="A412" i="86"/>
  <c r="A412" i="85"/>
  <c r="A413" i="86"/>
  <c r="A413" i="85"/>
  <c r="A414" i="86"/>
  <c r="A414" i="85"/>
  <c r="A415" i="86"/>
  <c r="A415" i="85"/>
  <c r="A416" i="86"/>
  <c r="A416" i="85"/>
  <c r="A417" i="86"/>
  <c r="A417" i="85"/>
  <c r="A418" i="86"/>
  <c r="A418" i="85"/>
  <c r="A419" i="86"/>
  <c r="A419" i="85"/>
  <c r="A420" i="86"/>
  <c r="A420" i="85"/>
  <c r="A421" i="86"/>
  <c r="A421" i="85"/>
  <c r="A422" i="86"/>
  <c r="A422" i="85"/>
  <c r="A423" i="86"/>
  <c r="A423" i="85"/>
  <c r="A424" i="86"/>
  <c r="A424" i="85"/>
  <c r="A425" i="86"/>
  <c r="A425" i="85"/>
  <c r="A426" i="86"/>
  <c r="A426" i="85"/>
  <c r="A427" i="86"/>
  <c r="A427" i="85"/>
  <c r="A428" i="86"/>
  <c r="A428" i="85"/>
  <c r="A429" i="86"/>
  <c r="A429" i="85"/>
  <c r="A430" i="86"/>
  <c r="A430" i="85"/>
  <c r="A431" i="86"/>
  <c r="A431" i="85"/>
  <c r="A432" i="86"/>
  <c r="A432" i="85"/>
  <c r="A433" i="86"/>
  <c r="A433" i="85"/>
  <c r="A434" i="86"/>
  <c r="A434" i="85"/>
  <c r="A435" i="86"/>
  <c r="A435" i="85"/>
  <c r="A436" i="86"/>
  <c r="A436" i="85"/>
  <c r="A437" i="86"/>
  <c r="A437" i="85"/>
  <c r="A438" i="86"/>
  <c r="A438" i="85"/>
  <c r="A439" i="86"/>
  <c r="A439" i="85"/>
  <c r="A440" i="86"/>
  <c r="A440" i="85"/>
  <c r="A441" i="86"/>
  <c r="A441" i="85"/>
  <c r="A442" i="86"/>
  <c r="A442" i="85"/>
  <c r="A443" i="86"/>
  <c r="A443" i="85"/>
  <c r="A444" i="86"/>
  <c r="A444" i="85"/>
  <c r="A445" i="86"/>
  <c r="A445" i="85"/>
  <c r="A446" i="86"/>
  <c r="A446" i="85"/>
  <c r="A447" i="86"/>
  <c r="A447" i="85"/>
  <c r="A448" i="86"/>
  <c r="A448" i="85"/>
  <c r="A449" i="86"/>
  <c r="A449" i="85"/>
  <c r="A450" i="86"/>
  <c r="A450" i="85"/>
  <c r="A451" i="86"/>
  <c r="A451" i="85"/>
  <c r="A452" i="86"/>
  <c r="A452" i="85"/>
  <c r="A453" i="86"/>
  <c r="A453" i="85"/>
  <c r="A454" i="86"/>
  <c r="A454" i="85"/>
  <c r="A455" i="86"/>
  <c r="A455" i="85"/>
  <c r="A456" i="86"/>
  <c r="A456" i="85"/>
  <c r="A457" i="86"/>
  <c r="A457" i="85"/>
  <c r="A458" i="86"/>
  <c r="A458" i="85"/>
  <c r="A459" i="86"/>
  <c r="A459" i="85"/>
  <c r="A460" i="86"/>
  <c r="A460" i="85"/>
  <c r="A461" i="85"/>
  <c r="A462" i="85"/>
  <c r="A463" i="85"/>
  <c r="A464" i="85"/>
  <c r="A465" i="85"/>
  <c r="A466" i="85"/>
  <c r="A467" i="85"/>
  <c r="A468" i="85"/>
  <c r="A469" i="85"/>
  <c r="A470" i="85"/>
  <c r="A471" i="85"/>
  <c r="A472" i="85"/>
  <c r="A473" i="85"/>
  <c r="A474" i="85"/>
  <c r="A475" i="85"/>
  <c r="A476" i="85"/>
  <c r="A477" i="85"/>
  <c r="A478" i="85"/>
  <c r="A479" i="85"/>
  <c r="A480" i="85"/>
  <c r="A481" i="85"/>
  <c r="A482" i="85"/>
  <c r="A483" i="85"/>
  <c r="A484" i="85"/>
  <c r="A485" i="85"/>
  <c r="A486" i="85"/>
  <c r="A487" i="85"/>
  <c r="A488" i="85"/>
  <c r="A489" i="85"/>
  <c r="A490" i="85"/>
  <c r="A491" i="85"/>
  <c r="A492" i="85"/>
  <c r="A493" i="85"/>
  <c r="A494" i="85"/>
  <c r="A495" i="85"/>
  <c r="A496" i="85"/>
  <c r="A497" i="85"/>
  <c r="A498" i="85"/>
  <c r="A499" i="85"/>
  <c r="A500" i="85"/>
  <c r="A501" i="85"/>
  <c r="A502" i="85"/>
  <c r="A503" i="85"/>
  <c r="A504" i="85"/>
  <c r="A505" i="85"/>
  <c r="A506" i="85"/>
  <c r="A507" i="85"/>
  <c r="A508" i="85"/>
  <c r="A509" i="85"/>
  <c r="A510" i="85"/>
  <c r="A511" i="85"/>
  <c r="A512" i="85"/>
  <c r="A513" i="85"/>
  <c r="A514" i="85"/>
  <c r="A515" i="85"/>
  <c r="A516" i="85"/>
  <c r="A517" i="85"/>
  <c r="A518" i="85"/>
  <c r="A519" i="85"/>
  <c r="A520" i="85"/>
  <c r="A521" i="85"/>
  <c r="A522" i="85"/>
  <c r="A523" i="85"/>
  <c r="A524" i="85"/>
  <c r="A525" i="85"/>
  <c r="A526" i="85"/>
  <c r="A527" i="85"/>
  <c r="A528" i="85"/>
  <c r="A529" i="85"/>
  <c r="A530" i="85"/>
  <c r="A531" i="85"/>
  <c r="A532" i="85"/>
  <c r="A533" i="85"/>
  <c r="A534" i="85"/>
  <c r="A535" i="85"/>
  <c r="A536" i="85"/>
  <c r="A537" i="85"/>
  <c r="A538" i="85"/>
  <c r="A539" i="85"/>
  <c r="A540" i="85"/>
  <c r="A541" i="85"/>
  <c r="A542" i="85"/>
  <c r="A543" i="85"/>
  <c r="A544" i="85"/>
  <c r="A545" i="85"/>
  <c r="A546" i="85"/>
  <c r="A547" i="85"/>
  <c r="A548" i="85"/>
  <c r="A549" i="85"/>
  <c r="A550" i="85"/>
  <c r="A551" i="85"/>
  <c r="A552" i="85"/>
  <c r="A553" i="85"/>
  <c r="A554" i="85"/>
  <c r="A555" i="85"/>
  <c r="A556" i="85"/>
  <c r="A557" i="85"/>
  <c r="A558" i="85"/>
  <c r="A559" i="85"/>
  <c r="A560" i="85"/>
  <c r="A561" i="85"/>
  <c r="A562" i="85"/>
  <c r="A563" i="85"/>
  <c r="A564" i="85"/>
  <c r="A565" i="85"/>
  <c r="A566" i="85"/>
  <c r="A567" i="85"/>
  <c r="A568" i="85"/>
  <c r="A569" i="85"/>
  <c r="A570" i="85"/>
  <c r="A571" i="85"/>
  <c r="A572" i="85"/>
  <c r="A573" i="85"/>
  <c r="A574" i="85"/>
  <c r="A575" i="85"/>
  <c r="A576" i="85"/>
  <c r="A577" i="85"/>
  <c r="A578" i="85"/>
  <c r="A579" i="85"/>
  <c r="A580" i="85"/>
  <c r="A581" i="85"/>
  <c r="A582" i="85"/>
  <c r="A583" i="85"/>
  <c r="A584" i="85"/>
  <c r="A585" i="85"/>
  <c r="A586" i="85"/>
  <c r="A587" i="85"/>
  <c r="A588" i="85"/>
  <c r="A589" i="85"/>
  <c r="J3" i="85"/>
  <c r="J5" i="85"/>
  <c r="D126" i="85"/>
  <c r="E126" i="85"/>
  <c r="H126" i="85"/>
  <c r="D127" i="85"/>
  <c r="E127" i="85"/>
  <c r="H127" i="85"/>
  <c r="D128" i="85"/>
  <c r="E128" i="85"/>
  <c r="H128" i="85"/>
  <c r="D129" i="85"/>
  <c r="E129" i="85"/>
  <c r="H129" i="85"/>
  <c r="H130" i="85"/>
  <c r="Y130" i="85"/>
  <c r="Z130" i="85"/>
  <c r="D130" i="85"/>
  <c r="E130" i="85"/>
  <c r="D131" i="85"/>
  <c r="E131" i="85"/>
  <c r="H131" i="85"/>
  <c r="D132" i="85"/>
  <c r="E132" i="85"/>
  <c r="H132" i="85"/>
  <c r="D133" i="85"/>
  <c r="E133" i="85"/>
  <c r="H133" i="85"/>
  <c r="H134" i="85"/>
  <c r="Y134" i="85"/>
  <c r="Z134" i="85"/>
  <c r="D134" i="85"/>
  <c r="E134" i="85"/>
  <c r="A125" i="86"/>
  <c r="A125" i="85"/>
  <c r="A126" i="86"/>
  <c r="A126" i="85"/>
  <c r="A127" i="86"/>
  <c r="A128" i="86"/>
  <c r="A129" i="86"/>
  <c r="A129" i="85"/>
  <c r="A130" i="86"/>
  <c r="A130" i="85"/>
  <c r="A131" i="86"/>
  <c r="A132" i="86"/>
  <c r="A132" i="85"/>
  <c r="A133" i="86"/>
  <c r="A133" i="85"/>
  <c r="A134" i="86"/>
  <c r="A134" i="85"/>
  <c r="A135" i="86"/>
  <c r="A136" i="86"/>
  <c r="A137" i="86"/>
  <c r="A137" i="85"/>
  <c r="A138" i="86"/>
  <c r="A138" i="85"/>
  <c r="A139" i="86"/>
  <c r="A140" i="86"/>
  <c r="A140" i="85"/>
  <c r="A141" i="86"/>
  <c r="A141" i="85"/>
  <c r="A142" i="86"/>
  <c r="A142" i="85"/>
  <c r="A143" i="86"/>
  <c r="A144" i="86"/>
  <c r="A145" i="86"/>
  <c r="A145" i="85"/>
  <c r="D589" i="85"/>
  <c r="E589" i="85"/>
  <c r="F589" i="85"/>
  <c r="H589" i="85"/>
  <c r="D582" i="85"/>
  <c r="E582" i="85"/>
  <c r="F582" i="85"/>
  <c r="H582" i="85"/>
  <c r="D583" i="85"/>
  <c r="E583" i="85"/>
  <c r="F583" i="85"/>
  <c r="H583" i="85"/>
  <c r="D584" i="85"/>
  <c r="E584" i="85"/>
  <c r="F584" i="85"/>
  <c r="H584" i="85"/>
  <c r="D585" i="85"/>
  <c r="E585" i="85"/>
  <c r="F585" i="85"/>
  <c r="H585" i="85"/>
  <c r="D586" i="85"/>
  <c r="E586" i="85"/>
  <c r="F586" i="85"/>
  <c r="H586" i="85"/>
  <c r="D587" i="85"/>
  <c r="E587" i="85"/>
  <c r="F587" i="85"/>
  <c r="H587" i="85"/>
  <c r="D588" i="85"/>
  <c r="E588" i="85"/>
  <c r="F588" i="85"/>
  <c r="H588" i="85"/>
  <c r="A4" i="86"/>
  <c r="A4" i="85"/>
  <c r="B4" i="85"/>
  <c r="C4" i="85"/>
  <c r="D4" i="85"/>
  <c r="E4" i="85"/>
  <c r="H4" i="85"/>
  <c r="A12" i="86"/>
  <c r="A5" i="86"/>
  <c r="A5" i="85"/>
  <c r="B5" i="85"/>
  <c r="C5" i="85"/>
  <c r="D5" i="85"/>
  <c r="E5" i="85"/>
  <c r="H5" i="85"/>
  <c r="A13" i="86"/>
  <c r="A6" i="86"/>
  <c r="A6" i="85"/>
  <c r="B6" i="85"/>
  <c r="C6" i="85"/>
  <c r="D6" i="85"/>
  <c r="E6" i="85"/>
  <c r="H6" i="85"/>
  <c r="A14" i="86"/>
  <c r="A7" i="86"/>
  <c r="A7" i="85"/>
  <c r="B7" i="85"/>
  <c r="C7" i="85"/>
  <c r="P7" i="85"/>
  <c r="D7" i="85"/>
  <c r="E7" i="85"/>
  <c r="H7" i="85"/>
  <c r="A15" i="86"/>
  <c r="A15" i="85"/>
  <c r="A8" i="86"/>
  <c r="A8" i="85"/>
  <c r="B8" i="85"/>
  <c r="C8" i="85"/>
  <c r="D8" i="85"/>
  <c r="E8" i="85"/>
  <c r="H8" i="85"/>
  <c r="A16" i="86"/>
  <c r="A9" i="86"/>
  <c r="A9" i="85"/>
  <c r="B9" i="85"/>
  <c r="C9" i="85"/>
  <c r="D9" i="85"/>
  <c r="E9" i="85"/>
  <c r="H9" i="85"/>
  <c r="A17" i="86"/>
  <c r="A10" i="86"/>
  <c r="A10" i="85"/>
  <c r="B10" i="85"/>
  <c r="C10" i="85"/>
  <c r="D10" i="85"/>
  <c r="E10" i="85"/>
  <c r="H10" i="85"/>
  <c r="A18" i="86"/>
  <c r="A11" i="86"/>
  <c r="A11" i="85"/>
  <c r="B11" i="85"/>
  <c r="C11" i="85"/>
  <c r="D11" i="85"/>
  <c r="E11" i="85"/>
  <c r="H11" i="85"/>
  <c r="A19" i="86"/>
  <c r="A19" i="85"/>
  <c r="A12" i="85"/>
  <c r="B12" i="85"/>
  <c r="C12" i="85"/>
  <c r="D12" i="85"/>
  <c r="E12" i="85"/>
  <c r="H12" i="85"/>
  <c r="A13" i="85"/>
  <c r="B13" i="85"/>
  <c r="C13" i="85"/>
  <c r="D13" i="85"/>
  <c r="E13" i="85"/>
  <c r="H13" i="85"/>
  <c r="A14" i="85"/>
  <c r="B14" i="85"/>
  <c r="C14" i="85"/>
  <c r="D14" i="85"/>
  <c r="E14" i="85"/>
  <c r="H14" i="85"/>
  <c r="B15" i="85"/>
  <c r="C15" i="85"/>
  <c r="P15" i="85"/>
  <c r="D15" i="85"/>
  <c r="E15" i="85"/>
  <c r="H15" i="85"/>
  <c r="A16" i="85"/>
  <c r="B16" i="85"/>
  <c r="C16" i="85"/>
  <c r="D16" i="85"/>
  <c r="E16" i="85"/>
  <c r="H16" i="85"/>
  <c r="A17" i="85"/>
  <c r="B17" i="85"/>
  <c r="C17" i="85"/>
  <c r="P17" i="85"/>
  <c r="D17" i="85"/>
  <c r="E17" i="85"/>
  <c r="H17" i="85"/>
  <c r="A18" i="85"/>
  <c r="B18" i="85"/>
  <c r="C18" i="85"/>
  <c r="D18" i="85"/>
  <c r="E18" i="85"/>
  <c r="H18" i="85"/>
  <c r="B19" i="85"/>
  <c r="C19" i="85"/>
  <c r="D19" i="85"/>
  <c r="E19" i="85"/>
  <c r="H19" i="85"/>
  <c r="A20" i="86"/>
  <c r="A20" i="85"/>
  <c r="B20" i="85"/>
  <c r="C20" i="85"/>
  <c r="D20" i="85"/>
  <c r="E20" i="85"/>
  <c r="H20" i="85"/>
  <c r="A21" i="86"/>
  <c r="A21" i="85"/>
  <c r="B21" i="85"/>
  <c r="C21" i="85"/>
  <c r="D21" i="85"/>
  <c r="E21" i="85"/>
  <c r="H21" i="85"/>
  <c r="A22" i="86"/>
  <c r="A22" i="85"/>
  <c r="B22" i="85"/>
  <c r="C22" i="85"/>
  <c r="P22" i="85"/>
  <c r="D22" i="85"/>
  <c r="E22" i="85"/>
  <c r="H22" i="85"/>
  <c r="A23" i="86"/>
  <c r="A23" i="85"/>
  <c r="B23" i="85"/>
  <c r="C23" i="85"/>
  <c r="D23" i="85"/>
  <c r="E23" i="85"/>
  <c r="H23" i="85"/>
  <c r="A24" i="86"/>
  <c r="A24" i="85"/>
  <c r="D24" i="85"/>
  <c r="E24" i="85"/>
  <c r="H24" i="85"/>
  <c r="A25" i="86"/>
  <c r="A25" i="85"/>
  <c r="D25" i="85"/>
  <c r="E25" i="85"/>
  <c r="H25" i="85"/>
  <c r="A26" i="86"/>
  <c r="A26" i="85"/>
  <c r="D26" i="85"/>
  <c r="E26" i="85"/>
  <c r="H26" i="85"/>
  <c r="A27" i="86"/>
  <c r="A27" i="85"/>
  <c r="H27" i="85"/>
  <c r="Y27" i="85"/>
  <c r="Z27" i="85"/>
  <c r="D27" i="85"/>
  <c r="E27" i="85"/>
  <c r="A28" i="86"/>
  <c r="A28" i="85"/>
  <c r="D28" i="85"/>
  <c r="E28" i="85"/>
  <c r="H28" i="85"/>
  <c r="A29" i="86"/>
  <c r="A29" i="85"/>
  <c r="D29" i="85"/>
  <c r="E29" i="85"/>
  <c r="H29" i="85"/>
  <c r="A30" i="86"/>
  <c r="A30" i="85"/>
  <c r="D30" i="85"/>
  <c r="E30" i="85"/>
  <c r="H30" i="85"/>
  <c r="A31" i="86"/>
  <c r="A31" i="85"/>
  <c r="D31" i="85"/>
  <c r="E31" i="85"/>
  <c r="H31" i="85"/>
  <c r="A32" i="86"/>
  <c r="A32" i="85"/>
  <c r="D32" i="85"/>
  <c r="E32" i="85"/>
  <c r="H32" i="85"/>
  <c r="A33" i="86"/>
  <c r="A33" i="85"/>
  <c r="D33" i="85"/>
  <c r="E33" i="85"/>
  <c r="H33" i="85"/>
  <c r="A34" i="86"/>
  <c r="A34" i="85"/>
  <c r="D34" i="85"/>
  <c r="E34" i="85"/>
  <c r="H34" i="85"/>
  <c r="A35" i="86"/>
  <c r="A35" i="85"/>
  <c r="D35" i="85"/>
  <c r="E35" i="85"/>
  <c r="H35" i="85"/>
  <c r="A36" i="86"/>
  <c r="A36" i="85"/>
  <c r="D36" i="85"/>
  <c r="E36" i="85"/>
  <c r="H36" i="85"/>
  <c r="A37" i="86"/>
  <c r="A37" i="85"/>
  <c r="D37" i="85"/>
  <c r="E37" i="85"/>
  <c r="H37" i="85"/>
  <c r="A38" i="86"/>
  <c r="A38" i="85"/>
  <c r="D38" i="85"/>
  <c r="E38" i="85"/>
  <c r="H38" i="85"/>
  <c r="A39" i="86"/>
  <c r="A39" i="85"/>
  <c r="D39" i="85"/>
  <c r="E39" i="85"/>
  <c r="H39" i="85"/>
  <c r="Y39" i="85"/>
  <c r="Z39" i="85"/>
  <c r="A40" i="86"/>
  <c r="A40" i="85"/>
  <c r="D40" i="85"/>
  <c r="E40" i="85"/>
  <c r="H40" i="85"/>
  <c r="A41" i="86"/>
  <c r="A41" i="85"/>
  <c r="D41" i="85"/>
  <c r="E41" i="85"/>
  <c r="H41" i="85"/>
  <c r="A42" i="86"/>
  <c r="A42" i="85"/>
  <c r="D42" i="85"/>
  <c r="E42" i="85"/>
  <c r="A43" i="86"/>
  <c r="A43" i="85"/>
  <c r="D43" i="85"/>
  <c r="E43" i="85"/>
  <c r="H43" i="85"/>
  <c r="A44" i="86"/>
  <c r="A44" i="85"/>
  <c r="D44" i="85"/>
  <c r="E44" i="85"/>
  <c r="H44" i="85"/>
  <c r="A45" i="86"/>
  <c r="A45" i="85"/>
  <c r="D45" i="85"/>
  <c r="E45" i="85"/>
  <c r="H45" i="85"/>
  <c r="A46" i="86"/>
  <c r="A46" i="85"/>
  <c r="D46" i="85"/>
  <c r="E46" i="85"/>
  <c r="H46" i="85"/>
  <c r="A47" i="86"/>
  <c r="A47" i="85"/>
  <c r="D47" i="85"/>
  <c r="E47" i="85"/>
  <c r="H47" i="85"/>
  <c r="A48" i="86"/>
  <c r="A48" i="85"/>
  <c r="D48" i="85"/>
  <c r="E48" i="85"/>
  <c r="H48" i="85"/>
  <c r="A49" i="86"/>
  <c r="A49" i="85"/>
  <c r="D49" i="85"/>
  <c r="E49" i="85"/>
  <c r="A50" i="86"/>
  <c r="A50" i="85"/>
  <c r="D50" i="85"/>
  <c r="E50" i="85"/>
  <c r="H50" i="85"/>
  <c r="A51" i="86"/>
  <c r="A51" i="85"/>
  <c r="D51" i="85"/>
  <c r="E51" i="85"/>
  <c r="A52" i="86"/>
  <c r="A52" i="85"/>
  <c r="D52" i="85"/>
  <c r="E52" i="85"/>
  <c r="H52" i="85"/>
  <c r="A53" i="86"/>
  <c r="A53" i="85"/>
  <c r="D53" i="85"/>
  <c r="E53" i="85"/>
  <c r="A54" i="86"/>
  <c r="A54" i="85"/>
  <c r="D54" i="85"/>
  <c r="E54" i="85"/>
  <c r="H54" i="85"/>
  <c r="A55" i="86"/>
  <c r="A55" i="85"/>
  <c r="D55" i="85"/>
  <c r="E55" i="85"/>
  <c r="H55" i="85"/>
  <c r="Y55" i="85"/>
  <c r="Z55" i="85"/>
  <c r="A56" i="86"/>
  <c r="A56" i="85"/>
  <c r="D56" i="85"/>
  <c r="E56" i="85"/>
  <c r="H56" i="85"/>
  <c r="A57" i="86"/>
  <c r="A57" i="85"/>
  <c r="D57" i="85"/>
  <c r="E57" i="85"/>
  <c r="H57" i="85"/>
  <c r="A58" i="86"/>
  <c r="A58" i="85"/>
  <c r="D58" i="85"/>
  <c r="E58" i="85"/>
  <c r="H58" i="85"/>
  <c r="A59" i="86"/>
  <c r="A59" i="85"/>
  <c r="D59" i="85"/>
  <c r="E59" i="85"/>
  <c r="H59" i="85"/>
  <c r="A60" i="86"/>
  <c r="A60" i="85"/>
  <c r="D60" i="85"/>
  <c r="E60" i="85"/>
  <c r="H60" i="85"/>
  <c r="A61" i="86"/>
  <c r="A61" i="85"/>
  <c r="D61" i="85"/>
  <c r="E61" i="85"/>
  <c r="H61" i="85"/>
  <c r="A62" i="86"/>
  <c r="A62" i="85"/>
  <c r="D62" i="85"/>
  <c r="E62" i="85"/>
  <c r="H62" i="85"/>
  <c r="A63" i="86"/>
  <c r="A63" i="85"/>
  <c r="D63" i="85"/>
  <c r="E63" i="85"/>
  <c r="H63" i="85"/>
  <c r="A64" i="86"/>
  <c r="A64" i="85"/>
  <c r="D64" i="85"/>
  <c r="E64" i="85"/>
  <c r="H64" i="85"/>
  <c r="A65" i="86"/>
  <c r="A65" i="85"/>
  <c r="D65" i="85"/>
  <c r="E65" i="85"/>
  <c r="A66" i="86"/>
  <c r="A66" i="85"/>
  <c r="D66" i="85"/>
  <c r="E66" i="85"/>
  <c r="H66" i="85"/>
  <c r="A67" i="86"/>
  <c r="A67" i="85"/>
  <c r="D67" i="85"/>
  <c r="E67" i="85"/>
  <c r="H67" i="85"/>
  <c r="A68" i="86"/>
  <c r="A68" i="85"/>
  <c r="D68" i="85"/>
  <c r="E68" i="85"/>
  <c r="H68" i="85"/>
  <c r="A69" i="86"/>
  <c r="A69" i="85"/>
  <c r="H69" i="85"/>
  <c r="D69" i="85"/>
  <c r="E69" i="85"/>
  <c r="A70" i="86"/>
  <c r="A70" i="85"/>
  <c r="H70" i="85"/>
  <c r="D70" i="85"/>
  <c r="E70" i="85"/>
  <c r="A71" i="86"/>
  <c r="A71" i="85"/>
  <c r="D71" i="85"/>
  <c r="E71" i="85"/>
  <c r="H71" i="85"/>
  <c r="A80" i="86"/>
  <c r="A72" i="86"/>
  <c r="A72" i="85"/>
  <c r="D72" i="85"/>
  <c r="E72" i="85"/>
  <c r="H72" i="85"/>
  <c r="A81" i="86"/>
  <c r="A81" i="85"/>
  <c r="A73" i="86"/>
  <c r="A73" i="85"/>
  <c r="D73" i="85"/>
  <c r="E73" i="85"/>
  <c r="H73" i="85"/>
  <c r="A82" i="86"/>
  <c r="A74" i="86"/>
  <c r="A74" i="85"/>
  <c r="D74" i="85"/>
  <c r="E74" i="85"/>
  <c r="H74" i="85"/>
  <c r="A83" i="86"/>
  <c r="A75" i="86"/>
  <c r="A75" i="85"/>
  <c r="D75" i="85"/>
  <c r="E75" i="85"/>
  <c r="H75" i="85"/>
  <c r="A84" i="86"/>
  <c r="A84" i="85"/>
  <c r="A76" i="86"/>
  <c r="A76" i="85"/>
  <c r="D76" i="85"/>
  <c r="E76" i="85"/>
  <c r="H76" i="85"/>
  <c r="A85" i="86"/>
  <c r="A85" i="85"/>
  <c r="A77" i="86"/>
  <c r="A77" i="85"/>
  <c r="D77" i="85"/>
  <c r="E77" i="85"/>
  <c r="H77" i="85"/>
  <c r="Y77" i="85"/>
  <c r="Z77" i="85"/>
  <c r="A86" i="86"/>
  <c r="A86" i="85"/>
  <c r="A78" i="86"/>
  <c r="A78" i="85"/>
  <c r="D78" i="85"/>
  <c r="E78" i="85"/>
  <c r="H78" i="85"/>
  <c r="A87" i="86"/>
  <c r="A87" i="85"/>
  <c r="A79" i="86"/>
  <c r="A79" i="85"/>
  <c r="H79" i="85"/>
  <c r="D79" i="85"/>
  <c r="E79" i="85"/>
  <c r="A88" i="86"/>
  <c r="A88" i="85"/>
  <c r="A80" i="85"/>
  <c r="D80" i="85"/>
  <c r="E80" i="85"/>
  <c r="H80" i="85"/>
  <c r="A89" i="86"/>
  <c r="D81" i="85"/>
  <c r="E81" i="85"/>
  <c r="H81" i="85"/>
  <c r="A82" i="85"/>
  <c r="D82" i="85"/>
  <c r="E82" i="85"/>
  <c r="H82" i="85"/>
  <c r="A90" i="86"/>
  <c r="A90" i="85"/>
  <c r="A83" i="85"/>
  <c r="D83" i="85"/>
  <c r="E83" i="85"/>
  <c r="H83" i="85"/>
  <c r="D84" i="85"/>
  <c r="E84" i="85"/>
  <c r="H84" i="85"/>
  <c r="D85" i="85"/>
  <c r="E85" i="85"/>
  <c r="H85" i="85"/>
  <c r="D86" i="85"/>
  <c r="E86" i="85"/>
  <c r="H86" i="85"/>
  <c r="D87" i="85"/>
  <c r="E87" i="85"/>
  <c r="H87" i="85"/>
  <c r="D88" i="85"/>
  <c r="E88" i="85"/>
  <c r="H88" i="85"/>
  <c r="A89" i="85"/>
  <c r="D89" i="85"/>
  <c r="E89" i="85"/>
  <c r="H89" i="85"/>
  <c r="D90" i="85"/>
  <c r="E90" i="85"/>
  <c r="H90" i="85"/>
  <c r="A91" i="86"/>
  <c r="A91" i="85"/>
  <c r="D91" i="85"/>
  <c r="E91" i="85"/>
  <c r="H91" i="85"/>
  <c r="A92" i="86"/>
  <c r="A92" i="85"/>
  <c r="D92" i="85"/>
  <c r="E92" i="85"/>
  <c r="H92" i="85"/>
  <c r="A93" i="86"/>
  <c r="A93" i="85"/>
  <c r="D93" i="85"/>
  <c r="E93" i="85"/>
  <c r="H93" i="85"/>
  <c r="A94" i="86"/>
  <c r="A94" i="85"/>
  <c r="D94" i="85"/>
  <c r="E94" i="85"/>
  <c r="H94" i="85"/>
  <c r="A95" i="86"/>
  <c r="A95" i="85"/>
  <c r="D95" i="85"/>
  <c r="E95" i="85"/>
  <c r="H95" i="85"/>
  <c r="A96" i="86"/>
  <c r="A96" i="85"/>
  <c r="D96" i="85"/>
  <c r="E96" i="85"/>
  <c r="H96" i="85"/>
  <c r="A97" i="86"/>
  <c r="A97" i="85"/>
  <c r="D97" i="85"/>
  <c r="E97" i="85"/>
  <c r="H97" i="85"/>
  <c r="A98" i="86"/>
  <c r="A98" i="85"/>
  <c r="D98" i="85"/>
  <c r="E98" i="85"/>
  <c r="H98" i="85"/>
  <c r="A99" i="86"/>
  <c r="A99" i="85"/>
  <c r="D99" i="85"/>
  <c r="E99" i="85"/>
  <c r="H99" i="85"/>
  <c r="A100" i="86"/>
  <c r="A100" i="85"/>
  <c r="D100" i="85"/>
  <c r="E100" i="85"/>
  <c r="H100" i="85"/>
  <c r="A101" i="86"/>
  <c r="A101" i="85"/>
  <c r="D101" i="85"/>
  <c r="E101" i="85"/>
  <c r="H101" i="85"/>
  <c r="A102" i="86"/>
  <c r="A102" i="85"/>
  <c r="D102" i="85"/>
  <c r="E102" i="85"/>
  <c r="H102" i="85"/>
  <c r="A103" i="86"/>
  <c r="A103" i="85"/>
  <c r="D103" i="85"/>
  <c r="E103" i="85"/>
  <c r="H103" i="85"/>
  <c r="A104" i="86"/>
  <c r="A104" i="85"/>
  <c r="D104" i="85"/>
  <c r="E104" i="85"/>
  <c r="H104" i="85"/>
  <c r="A105" i="86"/>
  <c r="A105" i="85"/>
  <c r="D105" i="85"/>
  <c r="E105" i="85"/>
  <c r="H105" i="85"/>
  <c r="A106" i="86"/>
  <c r="A106" i="85"/>
  <c r="D106" i="85"/>
  <c r="E106" i="85"/>
  <c r="H106" i="85"/>
  <c r="A107" i="86"/>
  <c r="A107" i="85"/>
  <c r="D107" i="85"/>
  <c r="E107" i="85"/>
  <c r="H107" i="85"/>
  <c r="A108" i="86"/>
  <c r="A108" i="85"/>
  <c r="D108" i="85"/>
  <c r="E108" i="85"/>
  <c r="H108" i="85"/>
  <c r="A109" i="86"/>
  <c r="A109" i="85"/>
  <c r="D109" i="85"/>
  <c r="E109" i="85"/>
  <c r="H109" i="85"/>
  <c r="A110" i="86"/>
  <c r="A110" i="85"/>
  <c r="D110" i="85"/>
  <c r="E110" i="85"/>
  <c r="H110" i="85"/>
  <c r="A111" i="86"/>
  <c r="A111" i="85"/>
  <c r="D111" i="85"/>
  <c r="E111" i="85"/>
  <c r="H111" i="85"/>
  <c r="A112" i="86"/>
  <c r="A112" i="85"/>
  <c r="D112" i="85"/>
  <c r="E112" i="85"/>
  <c r="H112" i="85"/>
  <c r="A113" i="86"/>
  <c r="A113" i="85"/>
  <c r="D113" i="85"/>
  <c r="E113" i="85"/>
  <c r="H113" i="85"/>
  <c r="A114" i="86"/>
  <c r="A114" i="85"/>
  <c r="D114" i="85"/>
  <c r="E114" i="85"/>
  <c r="H114" i="85"/>
  <c r="A115" i="86"/>
  <c r="A115" i="85"/>
  <c r="D115" i="85"/>
  <c r="E115" i="85"/>
  <c r="H115" i="85"/>
  <c r="A116" i="86"/>
  <c r="A116" i="85"/>
  <c r="D116" i="85"/>
  <c r="E116" i="85"/>
  <c r="H116" i="85"/>
  <c r="A117" i="86"/>
  <c r="A117" i="85"/>
  <c r="D117" i="85"/>
  <c r="E117" i="85"/>
  <c r="H117" i="85"/>
  <c r="A118" i="86"/>
  <c r="A118" i="85"/>
  <c r="D118" i="85"/>
  <c r="E118" i="85"/>
  <c r="H118" i="85"/>
  <c r="A119" i="86"/>
  <c r="A119" i="85"/>
  <c r="D119" i="85"/>
  <c r="E119" i="85"/>
  <c r="H119" i="85"/>
  <c r="A120" i="86"/>
  <c r="A120" i="85"/>
  <c r="D120" i="85"/>
  <c r="E120" i="85"/>
  <c r="H120" i="85"/>
  <c r="A121" i="86"/>
  <c r="A121" i="85"/>
  <c r="D121" i="85"/>
  <c r="E121" i="85"/>
  <c r="H121" i="85"/>
  <c r="A122" i="86"/>
  <c r="A122" i="85"/>
  <c r="D122" i="85"/>
  <c r="E122" i="85"/>
  <c r="H122" i="85"/>
  <c r="A123" i="86"/>
  <c r="A123" i="85"/>
  <c r="D123" i="85"/>
  <c r="E123" i="85"/>
  <c r="H123" i="85"/>
  <c r="A124" i="86"/>
  <c r="A124" i="85"/>
  <c r="D124" i="85"/>
  <c r="E124" i="85"/>
  <c r="H124" i="85"/>
  <c r="D125" i="85"/>
  <c r="E125" i="85"/>
  <c r="H125" i="85"/>
  <c r="A127" i="85"/>
  <c r="A128" i="85"/>
  <c r="A131" i="85"/>
  <c r="A135" i="85"/>
  <c r="D135" i="85"/>
  <c r="E135" i="85"/>
  <c r="H135" i="85"/>
  <c r="A136" i="85"/>
  <c r="D136" i="85"/>
  <c r="E136" i="85"/>
  <c r="H136" i="85"/>
  <c r="D137" i="85"/>
  <c r="E137" i="85"/>
  <c r="H137" i="85"/>
  <c r="D138" i="85"/>
  <c r="E138" i="85"/>
  <c r="H138" i="85"/>
  <c r="A139" i="85"/>
  <c r="D139" i="85"/>
  <c r="E139" i="85"/>
  <c r="H139" i="85"/>
  <c r="D140" i="85"/>
  <c r="E140" i="85"/>
  <c r="H140" i="85"/>
  <c r="D141" i="85"/>
  <c r="E141" i="85"/>
  <c r="H141" i="85"/>
  <c r="D142" i="85"/>
  <c r="E142" i="85"/>
  <c r="H142" i="85"/>
  <c r="A143" i="85"/>
  <c r="H143" i="85"/>
  <c r="Y143" i="85"/>
  <c r="Z143" i="85"/>
  <c r="D143" i="85"/>
  <c r="E143" i="85"/>
  <c r="A144" i="85"/>
  <c r="D144" i="85"/>
  <c r="E144" i="85"/>
  <c r="H144" i="85"/>
  <c r="D145" i="85"/>
  <c r="E145" i="85"/>
  <c r="H145" i="85"/>
  <c r="A146" i="86"/>
  <c r="A146" i="85"/>
  <c r="D146" i="85"/>
  <c r="E146" i="85"/>
  <c r="H146" i="85"/>
  <c r="A147" i="86"/>
  <c r="A147" i="85"/>
  <c r="D147" i="85"/>
  <c r="E147" i="85"/>
  <c r="H147" i="85"/>
  <c r="A148" i="86"/>
  <c r="A148" i="85"/>
  <c r="D148" i="85"/>
  <c r="E148" i="85"/>
  <c r="H148" i="85"/>
  <c r="A149" i="86"/>
  <c r="A149" i="85"/>
  <c r="D149" i="85"/>
  <c r="E149" i="85"/>
  <c r="H149" i="85"/>
  <c r="A150" i="86"/>
  <c r="A150" i="85"/>
  <c r="D150" i="85"/>
  <c r="E150" i="85"/>
  <c r="H150" i="85"/>
  <c r="A151" i="86"/>
  <c r="A151" i="85"/>
  <c r="D151" i="85"/>
  <c r="E151" i="85"/>
  <c r="H151" i="85"/>
  <c r="A152" i="86"/>
  <c r="A152" i="85"/>
  <c r="D152" i="85"/>
  <c r="E152" i="85"/>
  <c r="H152" i="85"/>
  <c r="A153" i="86"/>
  <c r="A153" i="85"/>
  <c r="D153" i="85"/>
  <c r="E153" i="85"/>
  <c r="H153" i="85"/>
  <c r="A154" i="86"/>
  <c r="A154" i="85"/>
  <c r="D154" i="85"/>
  <c r="E154" i="85"/>
  <c r="H154" i="85"/>
  <c r="A155" i="86"/>
  <c r="A155" i="85"/>
  <c r="D155" i="85"/>
  <c r="E155" i="85"/>
  <c r="H155" i="85"/>
  <c r="A156" i="86"/>
  <c r="A156" i="85"/>
  <c r="D156" i="85"/>
  <c r="E156" i="85"/>
  <c r="H156" i="85"/>
  <c r="A157" i="86"/>
  <c r="A157" i="85"/>
  <c r="D157" i="85"/>
  <c r="E157" i="85"/>
  <c r="H157" i="85"/>
  <c r="A158" i="86"/>
  <c r="A158" i="85"/>
  <c r="H158" i="85"/>
  <c r="Y158" i="85"/>
  <c r="Z158" i="85"/>
  <c r="D158" i="85"/>
  <c r="E158" i="85"/>
  <c r="A159" i="86"/>
  <c r="A159" i="85"/>
  <c r="D159" i="85"/>
  <c r="E159" i="85"/>
  <c r="H159" i="85"/>
  <c r="A160" i="86"/>
  <c r="A160" i="85"/>
  <c r="D160" i="85"/>
  <c r="E160" i="85"/>
  <c r="H160" i="85"/>
  <c r="A161" i="86"/>
  <c r="A161" i="85"/>
  <c r="D161" i="85"/>
  <c r="E161" i="85"/>
  <c r="H161" i="85"/>
  <c r="A162" i="86"/>
  <c r="A162" i="85"/>
  <c r="D162" i="85"/>
  <c r="E162" i="85"/>
  <c r="H162" i="85"/>
  <c r="A163" i="86"/>
  <c r="A163" i="85"/>
  <c r="D163" i="85"/>
  <c r="E163" i="85"/>
  <c r="H163" i="85"/>
  <c r="A164" i="86"/>
  <c r="A164" i="85"/>
  <c r="D164" i="85"/>
  <c r="E164" i="85"/>
  <c r="H164" i="85"/>
  <c r="A165" i="86"/>
  <c r="A165" i="85"/>
  <c r="D165" i="85"/>
  <c r="E165" i="85"/>
  <c r="H165" i="85"/>
  <c r="A166" i="86"/>
  <c r="A166" i="85"/>
  <c r="D166" i="85"/>
  <c r="E166" i="85"/>
  <c r="H166" i="85"/>
  <c r="A167" i="86"/>
  <c r="A167" i="85"/>
  <c r="D167" i="85"/>
  <c r="E167" i="85"/>
  <c r="H167" i="85"/>
  <c r="A168" i="86"/>
  <c r="A168" i="85"/>
  <c r="D168" i="85"/>
  <c r="E168" i="85"/>
  <c r="H168" i="85"/>
  <c r="A169" i="86"/>
  <c r="A169" i="85"/>
  <c r="D169" i="85"/>
  <c r="E169" i="85"/>
  <c r="H169" i="85"/>
  <c r="A170" i="86"/>
  <c r="A170" i="85"/>
  <c r="D170" i="85"/>
  <c r="E170" i="85"/>
  <c r="H170" i="85"/>
  <c r="A171" i="86"/>
  <c r="A171" i="85"/>
  <c r="D171" i="85"/>
  <c r="E171" i="85"/>
  <c r="H171" i="85"/>
  <c r="A172" i="86"/>
  <c r="A172" i="85"/>
  <c r="D172" i="85"/>
  <c r="E172" i="85"/>
  <c r="H172" i="85"/>
  <c r="A173" i="86"/>
  <c r="A173" i="85"/>
  <c r="D173" i="85"/>
  <c r="E173" i="85"/>
  <c r="H173" i="85"/>
  <c r="A174" i="86"/>
  <c r="A174" i="85"/>
  <c r="D174" i="85"/>
  <c r="E174" i="85"/>
  <c r="H174" i="85"/>
  <c r="A175" i="86"/>
  <c r="A175" i="85"/>
  <c r="D175" i="85"/>
  <c r="E175" i="85"/>
  <c r="H175" i="85"/>
  <c r="A176" i="86"/>
  <c r="A176" i="85"/>
  <c r="D176" i="85"/>
  <c r="E176" i="85"/>
  <c r="H176" i="85"/>
  <c r="A177" i="86"/>
  <c r="A177" i="85"/>
  <c r="D177" i="85"/>
  <c r="E177" i="85"/>
  <c r="H177" i="85"/>
  <c r="A178" i="86"/>
  <c r="A178" i="85"/>
  <c r="D178" i="85"/>
  <c r="E178" i="85"/>
  <c r="H178" i="85"/>
  <c r="A179" i="86"/>
  <c r="A179" i="85"/>
  <c r="D179" i="85"/>
  <c r="E179" i="85"/>
  <c r="H179" i="85"/>
  <c r="A180" i="86"/>
  <c r="A180" i="85"/>
  <c r="D180" i="85"/>
  <c r="E180" i="85"/>
  <c r="H180" i="85"/>
  <c r="A181" i="86"/>
  <c r="A181" i="85"/>
  <c r="D181" i="85"/>
  <c r="E181" i="85"/>
  <c r="H181" i="85"/>
  <c r="A182" i="86"/>
  <c r="A182" i="85"/>
  <c r="D182" i="85"/>
  <c r="E182" i="85"/>
  <c r="H182" i="85"/>
  <c r="A183" i="86"/>
  <c r="A183" i="85"/>
  <c r="D183" i="85"/>
  <c r="E183" i="85"/>
  <c r="H183" i="85"/>
  <c r="A184" i="86"/>
  <c r="A184" i="85"/>
  <c r="D184" i="85"/>
  <c r="E184" i="85"/>
  <c r="H184" i="85"/>
  <c r="A185" i="86"/>
  <c r="A185" i="85"/>
  <c r="D185" i="85"/>
  <c r="E185" i="85"/>
  <c r="H185" i="85"/>
  <c r="A186" i="86"/>
  <c r="A186" i="85"/>
  <c r="D186" i="85"/>
  <c r="E186" i="85"/>
  <c r="H186" i="85"/>
  <c r="A187" i="86"/>
  <c r="A187" i="85"/>
  <c r="D187" i="85"/>
  <c r="E187" i="85"/>
  <c r="H187" i="85"/>
  <c r="A188" i="86"/>
  <c r="A188" i="85"/>
  <c r="D188" i="85"/>
  <c r="E188" i="85"/>
  <c r="H188" i="85"/>
  <c r="A189" i="86"/>
  <c r="A189" i="85"/>
  <c r="D189" i="85"/>
  <c r="E189" i="85"/>
  <c r="H189" i="85"/>
  <c r="A190" i="86"/>
  <c r="A190" i="85"/>
  <c r="H190" i="85"/>
  <c r="Y190" i="85"/>
  <c r="Z190" i="85"/>
  <c r="D190" i="85"/>
  <c r="E190" i="85"/>
  <c r="A191" i="86"/>
  <c r="A191" i="85"/>
  <c r="D191" i="85"/>
  <c r="E191" i="85"/>
  <c r="H191" i="85"/>
  <c r="A192" i="86"/>
  <c r="A192" i="85"/>
  <c r="D192" i="85"/>
  <c r="E192" i="85"/>
  <c r="H192" i="85"/>
  <c r="A193" i="86"/>
  <c r="A193" i="85"/>
  <c r="D193" i="85"/>
  <c r="E193" i="85"/>
  <c r="H193" i="85"/>
  <c r="A194" i="86"/>
  <c r="A194" i="85"/>
  <c r="H194" i="85"/>
  <c r="Y194" i="85"/>
  <c r="Z194" i="85"/>
  <c r="D194" i="85"/>
  <c r="E194" i="85"/>
  <c r="A195" i="86"/>
  <c r="A195" i="85"/>
  <c r="D195" i="85"/>
  <c r="E195" i="85"/>
  <c r="H195" i="85"/>
  <c r="A196" i="86"/>
  <c r="A196" i="85"/>
  <c r="D196" i="85"/>
  <c r="E196" i="85"/>
  <c r="H196" i="85"/>
  <c r="A197" i="86"/>
  <c r="A197" i="85"/>
  <c r="D197" i="85"/>
  <c r="E197" i="85"/>
  <c r="H197" i="85"/>
  <c r="A198" i="86"/>
  <c r="A198" i="85"/>
  <c r="D198" i="85"/>
  <c r="E198" i="85"/>
  <c r="H198" i="85"/>
  <c r="A199" i="86"/>
  <c r="A199" i="85"/>
  <c r="D199" i="85"/>
  <c r="E199" i="85"/>
  <c r="H199" i="85"/>
  <c r="A200" i="86"/>
  <c r="A200" i="85"/>
  <c r="D200" i="85"/>
  <c r="E200" i="85"/>
  <c r="H200" i="85"/>
  <c r="A201" i="86"/>
  <c r="A201" i="85"/>
  <c r="D201" i="85"/>
  <c r="E201" i="85"/>
  <c r="H201" i="85"/>
  <c r="A202" i="86"/>
  <c r="A202" i="85"/>
  <c r="D202" i="85"/>
  <c r="E202" i="85"/>
  <c r="H202" i="85"/>
  <c r="A203" i="86"/>
  <c r="A203" i="85"/>
  <c r="D203" i="85"/>
  <c r="E203" i="85"/>
  <c r="H203" i="85"/>
  <c r="A204" i="86"/>
  <c r="A204" i="85"/>
  <c r="D204" i="85"/>
  <c r="E204" i="85"/>
  <c r="H204" i="85"/>
  <c r="A205" i="86"/>
  <c r="A205" i="85"/>
  <c r="D205" i="85"/>
  <c r="E205" i="85"/>
  <c r="H205" i="85"/>
  <c r="A206" i="86"/>
  <c r="A206" i="85"/>
  <c r="D206" i="85"/>
  <c r="E206" i="85"/>
  <c r="H206" i="85"/>
  <c r="A207" i="86"/>
  <c r="A207" i="85"/>
  <c r="D207" i="85"/>
  <c r="E207" i="85"/>
  <c r="H207" i="85"/>
  <c r="A208" i="86"/>
  <c r="A208" i="85"/>
  <c r="D208" i="85"/>
  <c r="E208" i="85"/>
  <c r="H208" i="85"/>
  <c r="A209" i="86"/>
  <c r="A209" i="85"/>
  <c r="D209" i="85"/>
  <c r="E209" i="85"/>
  <c r="H209" i="85"/>
  <c r="A210" i="86"/>
  <c r="A210" i="85"/>
  <c r="D210" i="85"/>
  <c r="E210" i="85"/>
  <c r="H210" i="85"/>
  <c r="A211" i="86"/>
  <c r="A211" i="85"/>
  <c r="H211" i="85"/>
  <c r="Y211" i="85"/>
  <c r="Z211" i="85"/>
  <c r="D211" i="85"/>
  <c r="E211" i="85"/>
  <c r="A212" i="86"/>
  <c r="A212" i="85"/>
  <c r="D212" i="85"/>
  <c r="E212" i="85"/>
  <c r="H212" i="85"/>
  <c r="A213" i="86"/>
  <c r="A213" i="85"/>
  <c r="D213" i="85"/>
  <c r="E213" i="85"/>
  <c r="H213" i="85"/>
  <c r="A214" i="86"/>
  <c r="A214" i="85"/>
  <c r="D214" i="85"/>
  <c r="E214" i="85"/>
  <c r="H214" i="85"/>
  <c r="A215" i="86"/>
  <c r="A215" i="85"/>
  <c r="D215" i="85"/>
  <c r="E215" i="85"/>
  <c r="H215" i="85"/>
  <c r="A216" i="86"/>
  <c r="A216" i="85"/>
  <c r="D216" i="85"/>
  <c r="E216" i="85"/>
  <c r="H216" i="85"/>
  <c r="A217" i="86"/>
  <c r="A217" i="85"/>
  <c r="D217" i="85"/>
  <c r="E217" i="85"/>
  <c r="H217" i="85"/>
  <c r="A218" i="86"/>
  <c r="A218" i="85"/>
  <c r="D218" i="85"/>
  <c r="E218" i="85"/>
  <c r="H218" i="85"/>
  <c r="A219" i="86"/>
  <c r="A219" i="85"/>
  <c r="D219" i="85"/>
  <c r="E219" i="85"/>
  <c r="H219" i="85"/>
  <c r="A220" i="86"/>
  <c r="A220" i="85"/>
  <c r="D220" i="85"/>
  <c r="E220" i="85"/>
  <c r="H220" i="85"/>
  <c r="A221" i="86"/>
  <c r="A221" i="85"/>
  <c r="D221" i="85"/>
  <c r="E221" i="85"/>
  <c r="H221" i="85"/>
  <c r="A222" i="86"/>
  <c r="A222" i="85"/>
  <c r="D222" i="85"/>
  <c r="E222" i="85"/>
  <c r="H222" i="85"/>
  <c r="A223" i="86"/>
  <c r="A223" i="85"/>
  <c r="D223" i="85"/>
  <c r="E223" i="85"/>
  <c r="H223" i="85"/>
  <c r="A224" i="86"/>
  <c r="A224" i="85"/>
  <c r="D224" i="85"/>
  <c r="E224" i="85"/>
  <c r="H224" i="85"/>
  <c r="A225" i="86"/>
  <c r="A225" i="85"/>
  <c r="D225" i="85"/>
  <c r="E225" i="85"/>
  <c r="H225" i="85"/>
  <c r="A226" i="86"/>
  <c r="A226" i="85"/>
  <c r="D226" i="85"/>
  <c r="E226" i="85"/>
  <c r="H226" i="85"/>
  <c r="A227" i="86"/>
  <c r="A227" i="85"/>
  <c r="D227" i="85"/>
  <c r="E227" i="85"/>
  <c r="H227" i="85"/>
  <c r="A228" i="86"/>
  <c r="A228" i="85"/>
  <c r="D228" i="85"/>
  <c r="E228" i="85"/>
  <c r="H228" i="85"/>
  <c r="A229" i="86"/>
  <c r="A229" i="85"/>
  <c r="D229" i="85"/>
  <c r="E229" i="85"/>
  <c r="H229" i="85"/>
  <c r="A230" i="86"/>
  <c r="A230" i="85"/>
  <c r="D230" i="85"/>
  <c r="E230" i="85"/>
  <c r="H230" i="85"/>
  <c r="A231" i="86"/>
  <c r="A231" i="85"/>
  <c r="D231" i="85"/>
  <c r="E231" i="85"/>
  <c r="H231" i="85"/>
  <c r="A232" i="86"/>
  <c r="A232" i="85"/>
  <c r="D232" i="85"/>
  <c r="E232" i="85"/>
  <c r="H232" i="85"/>
  <c r="A233" i="86"/>
  <c r="A233" i="85"/>
  <c r="D233" i="85"/>
  <c r="E233" i="85"/>
  <c r="H233" i="85"/>
  <c r="A234" i="86"/>
  <c r="A234" i="85"/>
  <c r="D234" i="85"/>
  <c r="E234" i="85"/>
  <c r="H234" i="85"/>
  <c r="A235" i="86"/>
  <c r="A235" i="85"/>
  <c r="D235" i="85"/>
  <c r="E235" i="85"/>
  <c r="H235" i="85"/>
  <c r="A236" i="86"/>
  <c r="A236" i="85"/>
  <c r="H236" i="85"/>
  <c r="Y236" i="85"/>
  <c r="Z236" i="85"/>
  <c r="D236" i="85"/>
  <c r="E236" i="85"/>
  <c r="A237" i="86"/>
  <c r="A237" i="85"/>
  <c r="D237" i="85"/>
  <c r="E237" i="85"/>
  <c r="H237" i="85"/>
  <c r="A238" i="86"/>
  <c r="A238" i="85"/>
  <c r="D238" i="85"/>
  <c r="E238" i="85"/>
  <c r="H238" i="85"/>
  <c r="A239" i="86"/>
  <c r="A239" i="85"/>
  <c r="D239" i="85"/>
  <c r="E239" i="85"/>
  <c r="H239" i="85"/>
  <c r="A240" i="86"/>
  <c r="A240" i="85"/>
  <c r="D240" i="85"/>
  <c r="E240" i="85"/>
  <c r="H240" i="85"/>
  <c r="A241" i="86"/>
  <c r="A241" i="85"/>
  <c r="D241" i="85"/>
  <c r="E241" i="85"/>
  <c r="H241" i="85"/>
  <c r="A242" i="86"/>
  <c r="A242" i="85"/>
  <c r="D242" i="85"/>
  <c r="E242" i="85"/>
  <c r="H242" i="85"/>
  <c r="A243" i="86"/>
  <c r="A243" i="85"/>
  <c r="D243" i="85"/>
  <c r="E243" i="85"/>
  <c r="H243" i="85"/>
  <c r="A244" i="86"/>
  <c r="A244" i="85"/>
  <c r="D244" i="85"/>
  <c r="E244" i="85"/>
  <c r="H244" i="85"/>
  <c r="A245" i="86"/>
  <c r="A245" i="85"/>
  <c r="D245" i="85"/>
  <c r="E245" i="85"/>
  <c r="H245" i="85"/>
  <c r="A246" i="86"/>
  <c r="A246" i="85"/>
  <c r="D246" i="85"/>
  <c r="E246" i="85"/>
  <c r="H246" i="85"/>
  <c r="A247" i="86"/>
  <c r="A247" i="85"/>
  <c r="D247" i="85"/>
  <c r="E247" i="85"/>
  <c r="H247" i="85"/>
  <c r="A248" i="86"/>
  <c r="A248" i="85"/>
  <c r="D248" i="85"/>
  <c r="E248" i="85"/>
  <c r="H248" i="85"/>
  <c r="A251" i="86"/>
  <c r="A251" i="85"/>
  <c r="A249" i="86"/>
  <c r="A249" i="85"/>
  <c r="D249" i="85"/>
  <c r="E249" i="85"/>
  <c r="H249" i="85"/>
  <c r="A250" i="86"/>
  <c r="A250" i="85"/>
  <c r="D250" i="85"/>
  <c r="E250" i="85"/>
  <c r="H250" i="85"/>
  <c r="D251" i="85"/>
  <c r="E251" i="85"/>
  <c r="H251" i="85"/>
  <c r="A252" i="86"/>
  <c r="A252" i="85"/>
  <c r="D252" i="85"/>
  <c r="E252" i="85"/>
  <c r="H252" i="85"/>
  <c r="A253" i="86"/>
  <c r="A253" i="85"/>
  <c r="D253" i="85"/>
  <c r="E253" i="85"/>
  <c r="H253" i="85"/>
  <c r="A257" i="86"/>
  <c r="A257" i="85"/>
  <c r="A254" i="86"/>
  <c r="A254" i="85"/>
  <c r="D254" i="85"/>
  <c r="E254" i="85"/>
  <c r="H254" i="85"/>
  <c r="A256" i="86"/>
  <c r="A256" i="85"/>
  <c r="A255" i="86"/>
  <c r="A255" i="85"/>
  <c r="D255" i="85"/>
  <c r="E255" i="85"/>
  <c r="H255" i="85"/>
  <c r="D256" i="85"/>
  <c r="E256" i="85"/>
  <c r="H256" i="85"/>
  <c r="D257" i="85"/>
  <c r="E257" i="85"/>
  <c r="H257" i="85"/>
  <c r="A259" i="86"/>
  <c r="A259" i="85"/>
  <c r="A258" i="86"/>
  <c r="A258" i="85"/>
  <c r="D258" i="85"/>
  <c r="E258" i="85"/>
  <c r="H258" i="85"/>
  <c r="D259" i="85"/>
  <c r="E259" i="85"/>
  <c r="H259" i="85"/>
  <c r="A260" i="86"/>
  <c r="A260" i="85"/>
  <c r="D260" i="85"/>
  <c r="E260" i="85"/>
  <c r="H260" i="85"/>
  <c r="A262" i="86"/>
  <c r="A262" i="85"/>
  <c r="A261" i="86"/>
  <c r="A261" i="85"/>
  <c r="D261" i="85"/>
  <c r="E261" i="85"/>
  <c r="H261" i="85"/>
  <c r="D262" i="85"/>
  <c r="E262" i="85"/>
  <c r="H262" i="85"/>
  <c r="A264" i="86"/>
  <c r="A264" i="85"/>
  <c r="A263" i="86"/>
  <c r="A263" i="85"/>
  <c r="D263" i="85"/>
  <c r="E263" i="85"/>
  <c r="H263" i="85"/>
  <c r="D264" i="85"/>
  <c r="E264" i="85"/>
  <c r="H264" i="85"/>
  <c r="A265" i="86"/>
  <c r="A265" i="85"/>
  <c r="D265" i="85"/>
  <c r="E265" i="85"/>
  <c r="H265" i="85"/>
  <c r="A266" i="86"/>
  <c r="A266" i="85"/>
  <c r="D266" i="85"/>
  <c r="E266" i="85"/>
  <c r="H266" i="85"/>
  <c r="A267" i="86"/>
  <c r="A267" i="85"/>
  <c r="D267" i="85"/>
  <c r="E267" i="85"/>
  <c r="H267" i="85"/>
  <c r="A268" i="86"/>
  <c r="A268" i="85"/>
  <c r="D268" i="85"/>
  <c r="E268" i="85"/>
  <c r="H268" i="85"/>
  <c r="A269" i="86"/>
  <c r="A269" i="85"/>
  <c r="D269" i="85"/>
  <c r="E269" i="85"/>
  <c r="H269" i="85"/>
  <c r="A270" i="86"/>
  <c r="A270" i="85"/>
  <c r="D270" i="85"/>
  <c r="E270" i="85"/>
  <c r="H270" i="85"/>
  <c r="A271" i="86"/>
  <c r="A271" i="85"/>
  <c r="D271" i="85"/>
  <c r="E271" i="85"/>
  <c r="H271" i="85"/>
  <c r="A272" i="86"/>
  <c r="A272" i="85"/>
  <c r="D272" i="85"/>
  <c r="E272" i="85"/>
  <c r="H272" i="85"/>
  <c r="A273" i="86"/>
  <c r="A273" i="85"/>
  <c r="D273" i="85"/>
  <c r="E273" i="85"/>
  <c r="H273" i="85"/>
  <c r="A274" i="86"/>
  <c r="A274" i="85"/>
  <c r="D274" i="85"/>
  <c r="E274" i="85"/>
  <c r="H274" i="85"/>
  <c r="A275" i="86"/>
  <c r="A275" i="85"/>
  <c r="D275" i="85"/>
  <c r="E275" i="85"/>
  <c r="H275" i="85"/>
  <c r="A276" i="86"/>
  <c r="A276" i="85"/>
  <c r="D276" i="85"/>
  <c r="E276" i="85"/>
  <c r="H276" i="85"/>
  <c r="A277" i="86"/>
  <c r="A277" i="85"/>
  <c r="D277" i="85"/>
  <c r="E277" i="85"/>
  <c r="H277" i="85"/>
  <c r="A278" i="86"/>
  <c r="A278" i="85"/>
  <c r="D278" i="85"/>
  <c r="E278" i="85"/>
  <c r="H278" i="85"/>
  <c r="A279" i="86"/>
  <c r="A279" i="85"/>
  <c r="D279" i="85"/>
  <c r="E279" i="85"/>
  <c r="H279" i="85"/>
  <c r="A280" i="86"/>
  <c r="A280" i="85"/>
  <c r="D280" i="85"/>
  <c r="E280" i="85"/>
  <c r="H280" i="85"/>
  <c r="A281" i="86"/>
  <c r="A281" i="85"/>
  <c r="D281" i="85"/>
  <c r="E281" i="85"/>
  <c r="H281" i="85"/>
  <c r="A282" i="86"/>
  <c r="A282" i="85"/>
  <c r="D282" i="85"/>
  <c r="E282" i="85"/>
  <c r="H282" i="85"/>
  <c r="A283" i="86"/>
  <c r="A283" i="85"/>
  <c r="D283" i="85"/>
  <c r="E283" i="85"/>
  <c r="H283" i="85"/>
  <c r="A284" i="86"/>
  <c r="A284" i="85"/>
  <c r="D284" i="85"/>
  <c r="E284" i="85"/>
  <c r="H284" i="85"/>
  <c r="A285" i="86"/>
  <c r="A285" i="85"/>
  <c r="D285" i="85"/>
  <c r="E285" i="85"/>
  <c r="H285" i="85"/>
  <c r="A286" i="86"/>
  <c r="A286" i="85"/>
  <c r="D286" i="85"/>
  <c r="E286" i="85"/>
  <c r="H286" i="85"/>
  <c r="A287" i="86"/>
  <c r="A287" i="85"/>
  <c r="D287" i="85"/>
  <c r="E287" i="85"/>
  <c r="H287" i="85"/>
  <c r="A288" i="86"/>
  <c r="A288" i="85"/>
  <c r="D288" i="85"/>
  <c r="E288" i="85"/>
  <c r="H288" i="85"/>
  <c r="A289" i="86"/>
  <c r="A289" i="85"/>
  <c r="D289" i="85"/>
  <c r="E289" i="85"/>
  <c r="H289" i="85"/>
  <c r="A290" i="86"/>
  <c r="A290" i="85"/>
  <c r="D290" i="85"/>
  <c r="E290" i="85"/>
  <c r="H290" i="85"/>
  <c r="A291" i="86"/>
  <c r="A291" i="85"/>
  <c r="D291" i="85"/>
  <c r="E291" i="85"/>
  <c r="H291" i="85"/>
  <c r="A292" i="86"/>
  <c r="A292" i="85"/>
  <c r="D292" i="85"/>
  <c r="E292" i="85"/>
  <c r="H292" i="85"/>
  <c r="A293" i="86"/>
  <c r="A293" i="85"/>
  <c r="D293" i="85"/>
  <c r="E293" i="85"/>
  <c r="H293" i="85"/>
  <c r="A294" i="86"/>
  <c r="A294" i="85"/>
  <c r="D294" i="85"/>
  <c r="E294" i="85"/>
  <c r="H294" i="85"/>
  <c r="A295" i="86"/>
  <c r="A295" i="85"/>
  <c r="D295" i="85"/>
  <c r="E295" i="85"/>
  <c r="H295" i="85"/>
  <c r="A296" i="86"/>
  <c r="A296" i="85"/>
  <c r="D296" i="85"/>
  <c r="E296" i="85"/>
  <c r="H296" i="85"/>
  <c r="A297" i="86"/>
  <c r="A297" i="85"/>
  <c r="D297" i="85"/>
  <c r="E297" i="85"/>
  <c r="H297" i="85"/>
  <c r="A298" i="86"/>
  <c r="A298" i="85"/>
  <c r="D298" i="85"/>
  <c r="E298" i="85"/>
  <c r="H298" i="85"/>
  <c r="A299" i="86"/>
  <c r="A299" i="85"/>
  <c r="D299" i="85"/>
  <c r="E299" i="85"/>
  <c r="H299" i="85"/>
  <c r="A300" i="86"/>
  <c r="A300" i="85"/>
  <c r="D300" i="85"/>
  <c r="E300" i="85"/>
  <c r="H300" i="85"/>
  <c r="A301" i="86"/>
  <c r="A301" i="85"/>
  <c r="D301" i="85"/>
  <c r="E301" i="85"/>
  <c r="H301" i="85"/>
  <c r="A302" i="86"/>
  <c r="A302" i="85"/>
  <c r="D302" i="85"/>
  <c r="E302" i="85"/>
  <c r="H302" i="85"/>
  <c r="A303" i="86"/>
  <c r="A303" i="85"/>
  <c r="D303" i="85"/>
  <c r="E303" i="85"/>
  <c r="H303" i="85"/>
  <c r="A304" i="86"/>
  <c r="A304" i="85"/>
  <c r="D304" i="85"/>
  <c r="E304" i="85"/>
  <c r="H304" i="85"/>
  <c r="A305" i="86"/>
  <c r="A305" i="85"/>
  <c r="D305" i="85"/>
  <c r="E305" i="85"/>
  <c r="H305" i="85"/>
  <c r="A306" i="86"/>
  <c r="A306" i="85"/>
  <c r="D306" i="85"/>
  <c r="E306" i="85"/>
  <c r="H306" i="85"/>
  <c r="A307" i="86"/>
  <c r="A307" i="85"/>
  <c r="D307" i="85"/>
  <c r="E307" i="85"/>
  <c r="H307" i="85"/>
  <c r="A308" i="86"/>
  <c r="A308" i="85"/>
  <c r="D308" i="85"/>
  <c r="E308" i="85"/>
  <c r="H308" i="85"/>
  <c r="A309" i="86"/>
  <c r="A309" i="85"/>
  <c r="D309" i="85"/>
  <c r="E309" i="85"/>
  <c r="H309" i="85"/>
  <c r="A310" i="86"/>
  <c r="A310" i="85"/>
  <c r="D310" i="85"/>
  <c r="E310" i="85"/>
  <c r="H310" i="85"/>
  <c r="A311" i="86"/>
  <c r="A311" i="85"/>
  <c r="D311" i="85"/>
  <c r="E311" i="85"/>
  <c r="H311" i="85"/>
  <c r="A312" i="86"/>
  <c r="A312" i="85"/>
  <c r="D312" i="85"/>
  <c r="E312" i="85"/>
  <c r="H312" i="85"/>
  <c r="A313" i="86"/>
  <c r="A313" i="85"/>
  <c r="D313" i="85"/>
  <c r="E313" i="85"/>
  <c r="H313" i="85"/>
  <c r="A314" i="86"/>
  <c r="A314" i="85"/>
  <c r="D314" i="85"/>
  <c r="E314" i="85"/>
  <c r="H314" i="85"/>
  <c r="A315" i="86"/>
  <c r="A315" i="85"/>
  <c r="D315" i="85"/>
  <c r="E315" i="85"/>
  <c r="H315" i="85"/>
  <c r="A316" i="86"/>
  <c r="A316" i="85"/>
  <c r="D316" i="85"/>
  <c r="E316" i="85"/>
  <c r="H316" i="85"/>
  <c r="A317" i="86"/>
  <c r="A317" i="85"/>
  <c r="D317" i="85"/>
  <c r="E317" i="85"/>
  <c r="H317" i="85"/>
  <c r="A318" i="86"/>
  <c r="A318" i="85"/>
  <c r="D318" i="85"/>
  <c r="E318" i="85"/>
  <c r="H318" i="85"/>
  <c r="A319" i="86"/>
  <c r="A319" i="85"/>
  <c r="D319" i="85"/>
  <c r="E319" i="85"/>
  <c r="H319" i="85"/>
  <c r="A320" i="86"/>
  <c r="A320" i="85"/>
  <c r="D320" i="85"/>
  <c r="E320" i="85"/>
  <c r="H320" i="85"/>
  <c r="A321" i="86"/>
  <c r="A321" i="85"/>
  <c r="D321" i="85"/>
  <c r="E321" i="85"/>
  <c r="H321" i="85"/>
  <c r="A322" i="86"/>
  <c r="A322" i="85"/>
  <c r="D322" i="85"/>
  <c r="E322" i="85"/>
  <c r="H322" i="85"/>
  <c r="A323" i="86"/>
  <c r="A323" i="85"/>
  <c r="D323" i="85"/>
  <c r="E323" i="85"/>
  <c r="H323" i="85"/>
  <c r="A324" i="86"/>
  <c r="A324" i="85"/>
  <c r="D324" i="85"/>
  <c r="E324" i="85"/>
  <c r="H324" i="85"/>
  <c r="A325" i="86"/>
  <c r="A325" i="85"/>
  <c r="D325" i="85"/>
  <c r="E325" i="85"/>
  <c r="H325" i="85"/>
  <c r="A326" i="86"/>
  <c r="A326" i="85"/>
  <c r="D326" i="85"/>
  <c r="E326" i="85"/>
  <c r="H326" i="85"/>
  <c r="A327" i="86"/>
  <c r="A327" i="85"/>
  <c r="D327" i="85"/>
  <c r="E327" i="85"/>
  <c r="H327" i="85"/>
  <c r="A328" i="86"/>
  <c r="A328" i="85"/>
  <c r="D328" i="85"/>
  <c r="E328" i="85"/>
  <c r="H328" i="85"/>
  <c r="A329" i="86"/>
  <c r="A329" i="85"/>
  <c r="D329" i="85"/>
  <c r="E329" i="85"/>
  <c r="H329" i="85"/>
  <c r="A330" i="86"/>
  <c r="A330" i="85"/>
  <c r="D330" i="85"/>
  <c r="E330" i="85"/>
  <c r="H330" i="85"/>
  <c r="A331" i="86"/>
  <c r="A331" i="85"/>
  <c r="D331" i="85"/>
  <c r="E331" i="85"/>
  <c r="H331" i="85"/>
  <c r="A332" i="86"/>
  <c r="A332" i="85"/>
  <c r="D332" i="85"/>
  <c r="E332" i="85"/>
  <c r="H332" i="85"/>
  <c r="A333" i="86"/>
  <c r="A333" i="85"/>
  <c r="D333" i="85"/>
  <c r="E333" i="85"/>
  <c r="H333" i="85"/>
  <c r="A334" i="86"/>
  <c r="A334" i="85"/>
  <c r="D334" i="85"/>
  <c r="E334" i="85"/>
  <c r="H334" i="85"/>
  <c r="A335" i="86"/>
  <c r="A335" i="85"/>
  <c r="D335" i="85"/>
  <c r="E335" i="85"/>
  <c r="H335" i="85"/>
  <c r="A336" i="86"/>
  <c r="A336" i="85"/>
  <c r="D336" i="85"/>
  <c r="E336" i="85"/>
  <c r="H336" i="85"/>
  <c r="A337" i="86"/>
  <c r="A337" i="85"/>
  <c r="D337" i="85"/>
  <c r="E337" i="85"/>
  <c r="H337" i="85"/>
  <c r="A338" i="86"/>
  <c r="A338" i="85"/>
  <c r="D338" i="85"/>
  <c r="E338" i="85"/>
  <c r="H338" i="85"/>
  <c r="A339" i="86"/>
  <c r="A339" i="85"/>
  <c r="D339" i="85"/>
  <c r="E339" i="85"/>
  <c r="H339" i="85"/>
  <c r="A340" i="86"/>
  <c r="A340" i="85"/>
  <c r="H340" i="85"/>
  <c r="Y340" i="85"/>
  <c r="Z340" i="85"/>
  <c r="D340" i="85"/>
  <c r="E340" i="85"/>
  <c r="A341" i="86"/>
  <c r="A341" i="85"/>
  <c r="D341" i="85"/>
  <c r="E341" i="85"/>
  <c r="H341" i="85"/>
  <c r="A342" i="86"/>
  <c r="A342" i="85"/>
  <c r="H342" i="85"/>
  <c r="Y342" i="85"/>
  <c r="Z342" i="85"/>
  <c r="D342" i="85"/>
  <c r="E342" i="85"/>
  <c r="A343" i="86"/>
  <c r="A343" i="85"/>
  <c r="D343" i="85"/>
  <c r="E343" i="85"/>
  <c r="H343" i="85"/>
  <c r="A344" i="86"/>
  <c r="A344" i="85"/>
  <c r="D344" i="85"/>
  <c r="E344" i="85"/>
  <c r="H344" i="85"/>
  <c r="A345" i="86"/>
  <c r="A345" i="85"/>
  <c r="H345" i="85"/>
  <c r="Y345" i="85"/>
  <c r="Z345" i="85"/>
  <c r="D345" i="85"/>
  <c r="E345" i="85"/>
  <c r="A346" i="86"/>
  <c r="A346" i="85"/>
  <c r="D346" i="85"/>
  <c r="E346" i="85"/>
  <c r="H346" i="85"/>
  <c r="A347" i="86"/>
  <c r="A347" i="85"/>
  <c r="D347" i="85"/>
  <c r="E347" i="85"/>
  <c r="H347" i="85"/>
  <c r="A348" i="86"/>
  <c r="A348" i="85"/>
  <c r="D348" i="85"/>
  <c r="E348" i="85"/>
  <c r="H348" i="85"/>
  <c r="A349" i="86"/>
  <c r="A349" i="85"/>
  <c r="D349" i="85"/>
  <c r="E349" i="85"/>
  <c r="H349" i="85"/>
  <c r="A350" i="86"/>
  <c r="A350" i="85"/>
  <c r="D350" i="85"/>
  <c r="E350" i="85"/>
  <c r="H350" i="85"/>
  <c r="A351" i="86"/>
  <c r="A351" i="85"/>
  <c r="D351" i="85"/>
  <c r="E351" i="85"/>
  <c r="H351" i="85"/>
  <c r="A352" i="86"/>
  <c r="A352" i="85"/>
  <c r="D352" i="85"/>
  <c r="E352" i="85"/>
  <c r="H352" i="85"/>
  <c r="A353" i="86"/>
  <c r="A353" i="85"/>
  <c r="D353" i="85"/>
  <c r="E353" i="85"/>
  <c r="H353" i="85"/>
  <c r="A354" i="86"/>
  <c r="A354" i="85"/>
  <c r="D354" i="85"/>
  <c r="E354" i="85"/>
  <c r="H354" i="85"/>
  <c r="A355" i="86"/>
  <c r="A355" i="85"/>
  <c r="D355" i="85"/>
  <c r="E355" i="85"/>
  <c r="H355" i="85"/>
  <c r="A356" i="86"/>
  <c r="A356" i="85"/>
  <c r="D356" i="85"/>
  <c r="E356" i="85"/>
  <c r="H356" i="85"/>
  <c r="A357" i="86"/>
  <c r="A357" i="85"/>
  <c r="D357" i="85"/>
  <c r="E357" i="85"/>
  <c r="H357" i="85"/>
  <c r="A358" i="86"/>
  <c r="A358" i="85"/>
  <c r="D358" i="85"/>
  <c r="E358" i="85"/>
  <c r="H358" i="85"/>
  <c r="A359" i="86"/>
  <c r="A359" i="85"/>
  <c r="D359" i="85"/>
  <c r="E359" i="85"/>
  <c r="H359" i="85"/>
  <c r="A360" i="86"/>
  <c r="A360" i="85"/>
  <c r="D360" i="85"/>
  <c r="E360" i="85"/>
  <c r="H360" i="85"/>
  <c r="A361" i="86"/>
  <c r="A361" i="85"/>
  <c r="D361" i="85"/>
  <c r="E361" i="85"/>
  <c r="H361" i="85"/>
  <c r="A362" i="86"/>
  <c r="A362" i="85"/>
  <c r="H362" i="85"/>
  <c r="Y362" i="85"/>
  <c r="Z362" i="85"/>
  <c r="D362" i="85"/>
  <c r="E362" i="85"/>
  <c r="A363" i="86"/>
  <c r="A363" i="85"/>
  <c r="H363" i="85"/>
  <c r="Y363" i="85"/>
  <c r="Z363" i="85"/>
  <c r="D363" i="85"/>
  <c r="E363" i="85"/>
  <c r="A364" i="86"/>
  <c r="A364" i="85"/>
  <c r="D364" i="85"/>
  <c r="E364" i="85"/>
  <c r="H364" i="85"/>
  <c r="A365" i="86"/>
  <c r="A365" i="85"/>
  <c r="H365" i="85"/>
  <c r="Y365" i="85"/>
  <c r="Z365" i="85"/>
  <c r="D365" i="85"/>
  <c r="E365" i="85"/>
  <c r="A366" i="86"/>
  <c r="A366" i="85"/>
  <c r="D366" i="85"/>
  <c r="E366" i="85"/>
  <c r="H366" i="85"/>
  <c r="A367" i="86"/>
  <c r="A367" i="85"/>
  <c r="H367" i="85"/>
  <c r="Y367" i="85"/>
  <c r="Z367" i="85"/>
  <c r="D367" i="85"/>
  <c r="E367" i="85"/>
  <c r="A368" i="86"/>
  <c r="A368" i="85"/>
  <c r="D368" i="85"/>
  <c r="E368" i="85"/>
  <c r="H368" i="85"/>
  <c r="A369" i="86"/>
  <c r="A369" i="85"/>
  <c r="D369" i="85"/>
  <c r="E369" i="85"/>
  <c r="H369" i="85"/>
  <c r="A370" i="86"/>
  <c r="A370" i="85"/>
  <c r="D370" i="85"/>
  <c r="E370" i="85"/>
  <c r="H370" i="85"/>
  <c r="A371" i="86"/>
  <c r="A371" i="85"/>
  <c r="H371" i="85"/>
  <c r="Y371" i="85"/>
  <c r="Z371" i="85"/>
  <c r="D371" i="85"/>
  <c r="E371" i="85"/>
  <c r="A372" i="86"/>
  <c r="A372" i="85"/>
  <c r="D372" i="85"/>
  <c r="E372" i="85"/>
  <c r="H372" i="85"/>
  <c r="A373" i="86"/>
  <c r="A373" i="85"/>
  <c r="D373" i="85"/>
  <c r="E373" i="85"/>
  <c r="H373" i="85"/>
  <c r="A374" i="86"/>
  <c r="A374" i="85"/>
  <c r="D374" i="85"/>
  <c r="E374" i="85"/>
  <c r="H374" i="85"/>
  <c r="A375" i="86"/>
  <c r="A375" i="85"/>
  <c r="D375" i="85"/>
  <c r="E375" i="85"/>
  <c r="H375" i="85"/>
  <c r="A376" i="86"/>
  <c r="A376" i="85"/>
  <c r="H376" i="85"/>
  <c r="Y376" i="85"/>
  <c r="Z376" i="85"/>
  <c r="D376" i="85"/>
  <c r="E376" i="85"/>
  <c r="A377" i="86"/>
  <c r="A377" i="85"/>
  <c r="H377" i="85"/>
  <c r="Y377" i="85"/>
  <c r="Z377" i="85"/>
  <c r="D377" i="85"/>
  <c r="E377" i="85"/>
  <c r="A378" i="86"/>
  <c r="A378" i="85"/>
  <c r="D378" i="85"/>
  <c r="E378" i="85"/>
  <c r="H378" i="85"/>
  <c r="A379" i="86"/>
  <c r="A379" i="85"/>
  <c r="H379" i="85"/>
  <c r="Y379" i="85"/>
  <c r="Z379" i="85"/>
  <c r="D379" i="85"/>
  <c r="E379" i="85"/>
  <c r="A380" i="86"/>
  <c r="A380" i="85"/>
  <c r="D380" i="85"/>
  <c r="E380" i="85"/>
  <c r="H380" i="85"/>
  <c r="D381" i="85"/>
  <c r="E381" i="85"/>
  <c r="H381" i="85"/>
  <c r="D382" i="85"/>
  <c r="E382" i="85"/>
  <c r="H382" i="85"/>
  <c r="H383" i="85"/>
  <c r="Y383" i="85"/>
  <c r="Z383" i="85"/>
  <c r="D383" i="85"/>
  <c r="E383" i="85"/>
  <c r="D384" i="85"/>
  <c r="E384" i="85"/>
  <c r="H384" i="85"/>
  <c r="D385" i="85"/>
  <c r="E385" i="85"/>
  <c r="H385" i="85"/>
  <c r="D386" i="85"/>
  <c r="E386" i="85"/>
  <c r="H386" i="85"/>
  <c r="D387" i="85"/>
  <c r="E387" i="85"/>
  <c r="H387" i="85"/>
  <c r="D388" i="85"/>
  <c r="E388" i="85"/>
  <c r="H388" i="85"/>
  <c r="D389" i="85"/>
  <c r="E389" i="85"/>
  <c r="H389" i="85"/>
  <c r="D390" i="85"/>
  <c r="E390" i="85"/>
  <c r="H390" i="85"/>
  <c r="D391" i="85"/>
  <c r="E391" i="85"/>
  <c r="H391" i="85"/>
  <c r="D392" i="85"/>
  <c r="E392" i="85"/>
  <c r="H392" i="85"/>
  <c r="D393" i="85"/>
  <c r="E393" i="85"/>
  <c r="H393" i="85"/>
  <c r="D394" i="85"/>
  <c r="E394" i="85"/>
  <c r="H394" i="85"/>
  <c r="D395" i="85"/>
  <c r="E395" i="85"/>
  <c r="H395" i="85"/>
  <c r="D396" i="85"/>
  <c r="E396" i="85"/>
  <c r="H396" i="85"/>
  <c r="D397" i="85"/>
  <c r="E397" i="85"/>
  <c r="H397" i="85"/>
  <c r="D398" i="85"/>
  <c r="E398" i="85"/>
  <c r="H398" i="85"/>
  <c r="D399" i="85"/>
  <c r="E399" i="85"/>
  <c r="H399" i="85"/>
  <c r="D400" i="85"/>
  <c r="E400" i="85"/>
  <c r="H400" i="85"/>
  <c r="D401" i="85"/>
  <c r="E401" i="85"/>
  <c r="H401" i="85"/>
  <c r="D402" i="85"/>
  <c r="E402" i="85"/>
  <c r="H402" i="85"/>
  <c r="H403" i="85"/>
  <c r="Y403" i="85"/>
  <c r="Z403" i="85"/>
  <c r="D403" i="85"/>
  <c r="E403" i="85"/>
  <c r="D404" i="85"/>
  <c r="E404" i="85"/>
  <c r="H404" i="85"/>
  <c r="D405" i="85"/>
  <c r="E405" i="85"/>
  <c r="H405" i="85"/>
  <c r="D406" i="85"/>
  <c r="E406" i="85"/>
  <c r="H406" i="85"/>
  <c r="D407" i="85"/>
  <c r="E407" i="85"/>
  <c r="H407" i="85"/>
  <c r="D408" i="85"/>
  <c r="E408" i="85"/>
  <c r="H408" i="85"/>
  <c r="D409" i="85"/>
  <c r="E409" i="85"/>
  <c r="H409" i="85"/>
  <c r="D410" i="85"/>
  <c r="E410" i="85"/>
  <c r="H410" i="85"/>
  <c r="D411" i="85"/>
  <c r="E411" i="85"/>
  <c r="H411" i="85"/>
  <c r="D412" i="85"/>
  <c r="E412" i="85"/>
  <c r="H412" i="85"/>
  <c r="D413" i="85"/>
  <c r="E413" i="85"/>
  <c r="H413" i="85"/>
  <c r="D414" i="85"/>
  <c r="E414" i="85"/>
  <c r="H414" i="85"/>
  <c r="H415" i="85"/>
  <c r="Y415" i="85"/>
  <c r="Z415" i="85"/>
  <c r="D415" i="85"/>
  <c r="E415" i="85"/>
  <c r="D416" i="85"/>
  <c r="E416" i="85"/>
  <c r="H416" i="85"/>
  <c r="D417" i="85"/>
  <c r="E417" i="85"/>
  <c r="H417" i="85"/>
  <c r="D418" i="85"/>
  <c r="E418" i="85"/>
  <c r="H418" i="85"/>
  <c r="D419" i="85"/>
  <c r="E419" i="85"/>
  <c r="H419" i="85"/>
  <c r="D420" i="85"/>
  <c r="E420" i="85"/>
  <c r="H420" i="85"/>
  <c r="D421" i="85"/>
  <c r="E421" i="85"/>
  <c r="H421" i="85"/>
  <c r="D422" i="85"/>
  <c r="E422" i="85"/>
  <c r="H422" i="85"/>
  <c r="D423" i="85"/>
  <c r="E423" i="85"/>
  <c r="H423" i="85"/>
  <c r="D424" i="85"/>
  <c r="E424" i="85"/>
  <c r="H424" i="85"/>
  <c r="D425" i="85"/>
  <c r="E425" i="85"/>
  <c r="H425" i="85"/>
  <c r="D426" i="85"/>
  <c r="E426" i="85"/>
  <c r="H426" i="85"/>
  <c r="D427" i="85"/>
  <c r="E427" i="85"/>
  <c r="H427" i="85"/>
  <c r="D428" i="85"/>
  <c r="E428" i="85"/>
  <c r="H428" i="85"/>
  <c r="D429" i="85"/>
  <c r="E429" i="85"/>
  <c r="H429" i="85"/>
  <c r="D430" i="85"/>
  <c r="E430" i="85"/>
  <c r="H430" i="85"/>
  <c r="D431" i="85"/>
  <c r="E431" i="85"/>
  <c r="H431" i="85"/>
  <c r="D432" i="85"/>
  <c r="E432" i="85"/>
  <c r="H432" i="85"/>
  <c r="D433" i="85"/>
  <c r="E433" i="85"/>
  <c r="H433" i="85"/>
  <c r="D434" i="85"/>
  <c r="E434" i="85"/>
  <c r="H434" i="85"/>
  <c r="D435" i="85"/>
  <c r="E435" i="85"/>
  <c r="H435" i="85"/>
  <c r="D436" i="85"/>
  <c r="E436" i="85"/>
  <c r="H436" i="85"/>
  <c r="D437" i="85"/>
  <c r="E437" i="85"/>
  <c r="H437" i="85"/>
  <c r="D438" i="85"/>
  <c r="E438" i="85"/>
  <c r="H438" i="85"/>
  <c r="D439" i="85"/>
  <c r="E439" i="85"/>
  <c r="H439" i="85"/>
  <c r="D440" i="85"/>
  <c r="E440" i="85"/>
  <c r="H440" i="85"/>
  <c r="D441" i="85"/>
  <c r="E441" i="85"/>
  <c r="H441" i="85"/>
  <c r="D442" i="85"/>
  <c r="E442" i="85"/>
  <c r="H442" i="85"/>
  <c r="D443" i="85"/>
  <c r="E443" i="85"/>
  <c r="H443" i="85"/>
  <c r="D444" i="85"/>
  <c r="E444" i="85"/>
  <c r="H444" i="85"/>
  <c r="D445" i="85"/>
  <c r="E445" i="85"/>
  <c r="H445" i="85"/>
  <c r="D446" i="85"/>
  <c r="E446" i="85"/>
  <c r="H446" i="85"/>
  <c r="D447" i="85"/>
  <c r="E447" i="85"/>
  <c r="H447" i="85"/>
  <c r="D448" i="85"/>
  <c r="E448" i="85"/>
  <c r="H448" i="85"/>
  <c r="D449" i="85"/>
  <c r="E449" i="85"/>
  <c r="H449" i="85"/>
  <c r="D450" i="85"/>
  <c r="E450" i="85"/>
  <c r="H450" i="85"/>
  <c r="H451" i="85"/>
  <c r="Y451" i="85"/>
  <c r="Z451" i="85"/>
  <c r="D451" i="85"/>
  <c r="E451" i="85"/>
  <c r="D452" i="85"/>
  <c r="E452" i="85"/>
  <c r="H452" i="85"/>
  <c r="D453" i="85"/>
  <c r="E453" i="85"/>
  <c r="H453" i="85"/>
  <c r="D454" i="85"/>
  <c r="E454" i="85"/>
  <c r="H454" i="85"/>
  <c r="D455" i="85"/>
  <c r="E455" i="85"/>
  <c r="H455" i="85"/>
  <c r="D456" i="85"/>
  <c r="E456" i="85"/>
  <c r="H456" i="85"/>
  <c r="D457" i="85"/>
  <c r="E457" i="85"/>
  <c r="H457" i="85"/>
  <c r="D458" i="85"/>
  <c r="E458" i="85"/>
  <c r="H458" i="85"/>
  <c r="D459" i="85"/>
  <c r="E459" i="85"/>
  <c r="H459" i="85"/>
  <c r="D460" i="85"/>
  <c r="E460" i="85"/>
  <c r="H460" i="85"/>
  <c r="D461" i="85"/>
  <c r="E461" i="85"/>
  <c r="F461" i="85"/>
  <c r="H461" i="85"/>
  <c r="F462" i="85"/>
  <c r="H462" i="85"/>
  <c r="Y462" i="85"/>
  <c r="Z462" i="85"/>
  <c r="D462" i="85"/>
  <c r="E462" i="85"/>
  <c r="D463" i="85"/>
  <c r="E463" i="85"/>
  <c r="F463" i="85"/>
  <c r="H463" i="85"/>
  <c r="F464" i="85"/>
  <c r="H464" i="85"/>
  <c r="Y464" i="85"/>
  <c r="Z464" i="85"/>
  <c r="D464" i="85"/>
  <c r="E464" i="85"/>
  <c r="D465" i="85"/>
  <c r="E465" i="85"/>
  <c r="F465" i="85"/>
  <c r="H465" i="85"/>
  <c r="F466" i="85"/>
  <c r="H466" i="85"/>
  <c r="Y466" i="85"/>
  <c r="Z466" i="85"/>
  <c r="D466" i="85"/>
  <c r="E466" i="85"/>
  <c r="D467" i="85"/>
  <c r="E467" i="85"/>
  <c r="F467" i="85"/>
  <c r="H467" i="85"/>
  <c r="D468" i="85"/>
  <c r="E468" i="85"/>
  <c r="F468" i="85"/>
  <c r="H468" i="85"/>
  <c r="D469" i="85"/>
  <c r="E469" i="85"/>
  <c r="F469" i="85"/>
  <c r="H469" i="85"/>
  <c r="D470" i="85"/>
  <c r="E470" i="85"/>
  <c r="F470" i="85"/>
  <c r="H470" i="85"/>
  <c r="D471" i="85"/>
  <c r="E471" i="85"/>
  <c r="F471" i="85"/>
  <c r="H471" i="85"/>
  <c r="D472" i="85"/>
  <c r="E472" i="85"/>
  <c r="F472" i="85"/>
  <c r="H472" i="85"/>
  <c r="D473" i="85"/>
  <c r="E473" i="85"/>
  <c r="F473" i="85"/>
  <c r="H473" i="85"/>
  <c r="D474" i="85"/>
  <c r="E474" i="85"/>
  <c r="F474" i="85"/>
  <c r="H474" i="85"/>
  <c r="D475" i="85"/>
  <c r="E475" i="85"/>
  <c r="F475" i="85"/>
  <c r="H475" i="85"/>
  <c r="D476" i="85"/>
  <c r="E476" i="85"/>
  <c r="F476" i="85"/>
  <c r="H476" i="85"/>
  <c r="D477" i="85"/>
  <c r="E477" i="85"/>
  <c r="F477" i="85"/>
  <c r="H477" i="85"/>
  <c r="D478" i="85"/>
  <c r="E478" i="85"/>
  <c r="F478" i="85"/>
  <c r="H478" i="85"/>
  <c r="D479" i="85"/>
  <c r="E479" i="85"/>
  <c r="F479" i="85"/>
  <c r="H479" i="85"/>
  <c r="D480" i="85"/>
  <c r="E480" i="85"/>
  <c r="F480" i="85"/>
  <c r="H480" i="85"/>
  <c r="D481" i="85"/>
  <c r="E481" i="85"/>
  <c r="F481" i="85"/>
  <c r="H481" i="85"/>
  <c r="D482" i="85"/>
  <c r="E482" i="85"/>
  <c r="F482" i="85"/>
  <c r="H482" i="85"/>
  <c r="D483" i="85"/>
  <c r="E483" i="85"/>
  <c r="F483" i="85"/>
  <c r="H483" i="85"/>
  <c r="D484" i="85"/>
  <c r="E484" i="85"/>
  <c r="F484" i="85"/>
  <c r="H484" i="85"/>
  <c r="D485" i="85"/>
  <c r="E485" i="85"/>
  <c r="F485" i="85"/>
  <c r="H485" i="85"/>
  <c r="D486" i="85"/>
  <c r="E486" i="85"/>
  <c r="F486" i="85"/>
  <c r="H486" i="85"/>
  <c r="D487" i="85"/>
  <c r="E487" i="85"/>
  <c r="F487" i="85"/>
  <c r="H487" i="85"/>
  <c r="D488" i="85"/>
  <c r="E488" i="85"/>
  <c r="F488" i="85"/>
  <c r="H488" i="85"/>
  <c r="D489" i="85"/>
  <c r="E489" i="85"/>
  <c r="F489" i="85"/>
  <c r="H489" i="85"/>
  <c r="D490" i="85"/>
  <c r="E490" i="85"/>
  <c r="F490" i="85"/>
  <c r="H490" i="85"/>
  <c r="D491" i="85"/>
  <c r="E491" i="85"/>
  <c r="F491" i="85"/>
  <c r="H491" i="85"/>
  <c r="D492" i="85"/>
  <c r="E492" i="85"/>
  <c r="F492" i="85"/>
  <c r="H492" i="85"/>
  <c r="D493" i="85"/>
  <c r="E493" i="85"/>
  <c r="F493" i="85"/>
  <c r="H493" i="85"/>
  <c r="D494" i="85"/>
  <c r="E494" i="85"/>
  <c r="F494" i="85"/>
  <c r="H494" i="85"/>
  <c r="D495" i="85"/>
  <c r="E495" i="85"/>
  <c r="F495" i="85"/>
  <c r="H495" i="85"/>
  <c r="D496" i="85"/>
  <c r="E496" i="85"/>
  <c r="F496" i="85"/>
  <c r="H496" i="85"/>
  <c r="D497" i="85"/>
  <c r="E497" i="85"/>
  <c r="F497" i="85"/>
  <c r="H497" i="85"/>
  <c r="D498" i="85"/>
  <c r="E498" i="85"/>
  <c r="F498" i="85"/>
  <c r="H498" i="85"/>
  <c r="D499" i="85"/>
  <c r="E499" i="85"/>
  <c r="F499" i="85"/>
  <c r="H499" i="85"/>
  <c r="D500" i="85"/>
  <c r="E500" i="85"/>
  <c r="F500" i="85"/>
  <c r="H500" i="85"/>
  <c r="D501" i="85"/>
  <c r="E501" i="85"/>
  <c r="F501" i="85"/>
  <c r="H501" i="85"/>
  <c r="D502" i="85"/>
  <c r="E502" i="85"/>
  <c r="F502" i="85"/>
  <c r="H502" i="85"/>
  <c r="D503" i="85"/>
  <c r="E503" i="85"/>
  <c r="F503" i="85"/>
  <c r="H503" i="85"/>
  <c r="D504" i="85"/>
  <c r="E504" i="85"/>
  <c r="F504" i="85"/>
  <c r="H504" i="85"/>
  <c r="D505" i="85"/>
  <c r="E505" i="85"/>
  <c r="F505" i="85"/>
  <c r="H505" i="85"/>
  <c r="D506" i="85"/>
  <c r="E506" i="85"/>
  <c r="F506" i="85"/>
  <c r="H506" i="85"/>
  <c r="D507" i="85"/>
  <c r="E507" i="85"/>
  <c r="F507" i="85"/>
  <c r="H507" i="85"/>
  <c r="D508" i="85"/>
  <c r="E508" i="85"/>
  <c r="F508" i="85"/>
  <c r="H508" i="85"/>
  <c r="D509" i="85"/>
  <c r="E509" i="85"/>
  <c r="F509" i="85"/>
  <c r="H509" i="85"/>
  <c r="D510" i="85"/>
  <c r="E510" i="85"/>
  <c r="F510" i="85"/>
  <c r="H510" i="85"/>
  <c r="D511" i="85"/>
  <c r="E511" i="85"/>
  <c r="F511" i="85"/>
  <c r="H511" i="85"/>
  <c r="D512" i="85"/>
  <c r="E512" i="85"/>
  <c r="F512" i="85"/>
  <c r="H512" i="85"/>
  <c r="D513" i="85"/>
  <c r="E513" i="85"/>
  <c r="F513" i="85"/>
  <c r="H513" i="85"/>
  <c r="D514" i="85"/>
  <c r="E514" i="85"/>
  <c r="F514" i="85"/>
  <c r="H514" i="85"/>
  <c r="D515" i="85"/>
  <c r="E515" i="85"/>
  <c r="F515" i="85"/>
  <c r="H515" i="85"/>
  <c r="D516" i="85"/>
  <c r="E516" i="85"/>
  <c r="F516" i="85"/>
  <c r="H516" i="85"/>
  <c r="D517" i="85"/>
  <c r="E517" i="85"/>
  <c r="F517" i="85"/>
  <c r="H517" i="85"/>
  <c r="D518" i="85"/>
  <c r="E518" i="85"/>
  <c r="F518" i="85"/>
  <c r="H518" i="85"/>
  <c r="D519" i="85"/>
  <c r="E519" i="85"/>
  <c r="F519" i="85"/>
  <c r="H519" i="85"/>
  <c r="D520" i="85"/>
  <c r="E520" i="85"/>
  <c r="F520" i="85"/>
  <c r="H520" i="85"/>
  <c r="D521" i="85"/>
  <c r="E521" i="85"/>
  <c r="F521" i="85"/>
  <c r="H521" i="85"/>
  <c r="D522" i="85"/>
  <c r="E522" i="85"/>
  <c r="F522" i="85"/>
  <c r="H522" i="85"/>
  <c r="D523" i="85"/>
  <c r="E523" i="85"/>
  <c r="F523" i="85"/>
  <c r="H523" i="85"/>
  <c r="D524" i="85"/>
  <c r="E524" i="85"/>
  <c r="F524" i="85"/>
  <c r="H524" i="85"/>
  <c r="D525" i="85"/>
  <c r="E525" i="85"/>
  <c r="F525" i="85"/>
  <c r="H525" i="85"/>
  <c r="D526" i="85"/>
  <c r="E526" i="85"/>
  <c r="F526" i="85"/>
  <c r="H526" i="85"/>
  <c r="D527" i="85"/>
  <c r="E527" i="85"/>
  <c r="F527" i="85"/>
  <c r="H527" i="85"/>
  <c r="D528" i="85"/>
  <c r="E528" i="85"/>
  <c r="F528" i="85"/>
  <c r="H528" i="85"/>
  <c r="D529" i="85"/>
  <c r="E529" i="85"/>
  <c r="F529" i="85"/>
  <c r="H529" i="85"/>
  <c r="D530" i="85"/>
  <c r="E530" i="85"/>
  <c r="F530" i="85"/>
  <c r="H530" i="85"/>
  <c r="D531" i="85"/>
  <c r="E531" i="85"/>
  <c r="F531" i="85"/>
  <c r="H531" i="85"/>
  <c r="D532" i="85"/>
  <c r="E532" i="85"/>
  <c r="F532" i="85"/>
  <c r="H532" i="85"/>
  <c r="D533" i="85"/>
  <c r="E533" i="85"/>
  <c r="F533" i="85"/>
  <c r="H533" i="85"/>
  <c r="D534" i="85"/>
  <c r="E534" i="85"/>
  <c r="F534" i="85"/>
  <c r="H534" i="85"/>
  <c r="D535" i="85"/>
  <c r="E535" i="85"/>
  <c r="F535" i="85"/>
  <c r="H535" i="85"/>
  <c r="D536" i="85"/>
  <c r="E536" i="85"/>
  <c r="F536" i="85"/>
  <c r="H536" i="85"/>
  <c r="D537" i="85"/>
  <c r="E537" i="85"/>
  <c r="F537" i="85"/>
  <c r="H537" i="85"/>
  <c r="D538" i="85"/>
  <c r="E538" i="85"/>
  <c r="F538" i="85"/>
  <c r="H538" i="85"/>
  <c r="D539" i="85"/>
  <c r="E539" i="85"/>
  <c r="F539" i="85"/>
  <c r="H539" i="85"/>
  <c r="D540" i="85"/>
  <c r="E540" i="85"/>
  <c r="F540" i="85"/>
  <c r="H540" i="85"/>
  <c r="D541" i="85"/>
  <c r="E541" i="85"/>
  <c r="F541" i="85"/>
  <c r="H541" i="85"/>
  <c r="D542" i="85"/>
  <c r="E542" i="85"/>
  <c r="F542" i="85"/>
  <c r="H542" i="85"/>
  <c r="D543" i="85"/>
  <c r="E543" i="85"/>
  <c r="F543" i="85"/>
  <c r="H543" i="85"/>
  <c r="D544" i="85"/>
  <c r="E544" i="85"/>
  <c r="F544" i="85"/>
  <c r="H544" i="85"/>
  <c r="D545" i="85"/>
  <c r="E545" i="85"/>
  <c r="F545" i="85"/>
  <c r="H545" i="85"/>
  <c r="D546" i="85"/>
  <c r="E546" i="85"/>
  <c r="F546" i="85"/>
  <c r="H546" i="85"/>
  <c r="D547" i="85"/>
  <c r="E547" i="85"/>
  <c r="F547" i="85"/>
  <c r="H547" i="85"/>
  <c r="D548" i="85"/>
  <c r="E548" i="85"/>
  <c r="F548" i="85"/>
  <c r="H548" i="85"/>
  <c r="D549" i="85"/>
  <c r="E549" i="85"/>
  <c r="F549" i="85"/>
  <c r="H549" i="85"/>
  <c r="D550" i="85"/>
  <c r="E550" i="85"/>
  <c r="F550" i="85"/>
  <c r="H550" i="85"/>
  <c r="D551" i="85"/>
  <c r="E551" i="85"/>
  <c r="F551" i="85"/>
  <c r="H551" i="85"/>
  <c r="D552" i="85"/>
  <c r="E552" i="85"/>
  <c r="F552" i="85"/>
  <c r="H552" i="85"/>
  <c r="D553" i="85"/>
  <c r="E553" i="85"/>
  <c r="F553" i="85"/>
  <c r="H553" i="85"/>
  <c r="D554" i="85"/>
  <c r="E554" i="85"/>
  <c r="F554" i="85"/>
  <c r="H554" i="85"/>
  <c r="D555" i="85"/>
  <c r="E555" i="85"/>
  <c r="F555" i="85"/>
  <c r="H555" i="85"/>
  <c r="D556" i="85"/>
  <c r="E556" i="85"/>
  <c r="F556" i="85"/>
  <c r="H556" i="85"/>
  <c r="D557" i="85"/>
  <c r="E557" i="85"/>
  <c r="F557" i="85"/>
  <c r="H557" i="85"/>
  <c r="D558" i="85"/>
  <c r="E558" i="85"/>
  <c r="F558" i="85"/>
  <c r="H558" i="85"/>
  <c r="D559" i="85"/>
  <c r="E559" i="85"/>
  <c r="F559" i="85"/>
  <c r="H559" i="85"/>
  <c r="D560" i="85"/>
  <c r="E560" i="85"/>
  <c r="F560" i="85"/>
  <c r="H560" i="85"/>
  <c r="D561" i="85"/>
  <c r="E561" i="85"/>
  <c r="F561" i="85"/>
  <c r="H561" i="85"/>
  <c r="D562" i="85"/>
  <c r="E562" i="85"/>
  <c r="F562" i="85"/>
  <c r="H562" i="85"/>
  <c r="D563" i="85"/>
  <c r="E563" i="85"/>
  <c r="F563" i="85"/>
  <c r="H563" i="85"/>
  <c r="D564" i="85"/>
  <c r="E564" i="85"/>
  <c r="F564" i="85"/>
  <c r="H564" i="85"/>
  <c r="D565" i="85"/>
  <c r="E565" i="85"/>
  <c r="F565" i="85"/>
  <c r="H565" i="85"/>
  <c r="D566" i="85"/>
  <c r="E566" i="85"/>
  <c r="F566" i="85"/>
  <c r="H566" i="85"/>
  <c r="D567" i="85"/>
  <c r="E567" i="85"/>
  <c r="F567" i="85"/>
  <c r="H567" i="85"/>
  <c r="D568" i="85"/>
  <c r="E568" i="85"/>
  <c r="F568" i="85"/>
  <c r="H568" i="85"/>
  <c r="D569" i="85"/>
  <c r="E569" i="85"/>
  <c r="F569" i="85"/>
  <c r="H569" i="85"/>
  <c r="D570" i="85"/>
  <c r="E570" i="85"/>
  <c r="F570" i="85"/>
  <c r="H570" i="85"/>
  <c r="D571" i="85"/>
  <c r="E571" i="85"/>
  <c r="F571" i="85"/>
  <c r="H571" i="85"/>
  <c r="D572" i="85"/>
  <c r="E572" i="85"/>
  <c r="F572" i="85"/>
  <c r="H572" i="85"/>
  <c r="D573" i="85"/>
  <c r="E573" i="85"/>
  <c r="F573" i="85"/>
  <c r="H573" i="85"/>
  <c r="D574" i="85"/>
  <c r="E574" i="85"/>
  <c r="F574" i="85"/>
  <c r="H574" i="85"/>
  <c r="D575" i="85"/>
  <c r="E575" i="85"/>
  <c r="F575" i="85"/>
  <c r="H575" i="85"/>
  <c r="D576" i="85"/>
  <c r="E576" i="85"/>
  <c r="F576" i="85"/>
  <c r="H576" i="85"/>
  <c r="D577" i="85"/>
  <c r="E577" i="85"/>
  <c r="F577" i="85"/>
  <c r="H577" i="85"/>
  <c r="D578" i="85"/>
  <c r="E578" i="85"/>
  <c r="F578" i="85"/>
  <c r="H578" i="85"/>
  <c r="D579" i="85"/>
  <c r="E579" i="85"/>
  <c r="F579" i="85"/>
  <c r="H579" i="85"/>
  <c r="D580" i="85"/>
  <c r="E580" i="85"/>
  <c r="F580" i="85"/>
  <c r="H580" i="85"/>
  <c r="D581" i="85"/>
  <c r="E581" i="85"/>
  <c r="F581" i="85"/>
  <c r="H581" i="85"/>
  <c r="O237" i="85"/>
  <c r="O238" i="85"/>
  <c r="O239" i="85"/>
  <c r="O240" i="85"/>
  <c r="O241" i="85"/>
  <c r="O242" i="85"/>
  <c r="O243" i="85"/>
  <c r="O244" i="85"/>
  <c r="O245" i="85"/>
  <c r="O246" i="85"/>
  <c r="O247" i="85"/>
  <c r="O248" i="85"/>
  <c r="O249" i="85"/>
  <c r="Y249" i="85"/>
  <c r="Z249" i="85"/>
  <c r="O250" i="85"/>
  <c r="O251" i="85"/>
  <c r="Y251" i="85"/>
  <c r="Z251" i="85"/>
  <c r="O35" i="85"/>
  <c r="O40" i="85"/>
  <c r="A3" i="86"/>
  <c r="A3" i="85"/>
  <c r="O405" i="85"/>
  <c r="O406" i="85"/>
  <c r="O407" i="85"/>
  <c r="O408" i="85"/>
  <c r="O409" i="85"/>
  <c r="O410" i="85"/>
  <c r="O411" i="85"/>
  <c r="O412" i="85"/>
  <c r="O413" i="85"/>
  <c r="O414" i="85"/>
  <c r="O415" i="85"/>
  <c r="O416" i="85"/>
  <c r="O417" i="85"/>
  <c r="O418" i="85"/>
  <c r="O419" i="85"/>
  <c r="O420" i="85"/>
  <c r="O421" i="85"/>
  <c r="O422" i="85"/>
  <c r="O423" i="85"/>
  <c r="O424" i="85"/>
  <c r="O425" i="85"/>
  <c r="O426" i="85"/>
  <c r="O427" i="85"/>
  <c r="O428" i="85"/>
  <c r="O429" i="85"/>
  <c r="O430" i="85"/>
  <c r="O431" i="85"/>
  <c r="O432" i="85"/>
  <c r="O433" i="85"/>
  <c r="O434" i="85"/>
  <c r="O435" i="85"/>
  <c r="O436" i="85"/>
  <c r="O437" i="85"/>
  <c r="O438" i="85"/>
  <c r="O439" i="85"/>
  <c r="O440" i="85"/>
  <c r="O441" i="85"/>
  <c r="O442" i="85"/>
  <c r="O443" i="85"/>
  <c r="O444" i="85"/>
  <c r="O445" i="85"/>
  <c r="O446" i="85"/>
  <c r="O447" i="85"/>
  <c r="O448" i="85"/>
  <c r="O449" i="85"/>
  <c r="O450" i="85"/>
  <c r="O451" i="85"/>
  <c r="O452" i="85"/>
  <c r="O453" i="85"/>
  <c r="O454" i="85"/>
  <c r="O455" i="85"/>
  <c r="O456" i="85"/>
  <c r="O457" i="85"/>
  <c r="O458" i="85"/>
  <c r="O459" i="85"/>
  <c r="O460" i="85"/>
  <c r="O461" i="85"/>
  <c r="O462" i="85"/>
  <c r="O463" i="85"/>
  <c r="O464" i="85"/>
  <c r="O465" i="85"/>
  <c r="O466" i="85"/>
  <c r="O467" i="85"/>
  <c r="O468" i="85"/>
  <c r="O469" i="85"/>
  <c r="O470" i="85"/>
  <c r="O471" i="85"/>
  <c r="O472" i="85"/>
  <c r="O473" i="85"/>
  <c r="O474" i="85"/>
  <c r="O475" i="85"/>
  <c r="O476" i="85"/>
  <c r="O477" i="85"/>
  <c r="O478" i="85"/>
  <c r="O479" i="85"/>
  <c r="O480" i="85"/>
  <c r="O481" i="85"/>
  <c r="O482" i="85"/>
  <c r="O483" i="85"/>
  <c r="O484" i="85"/>
  <c r="O485" i="85"/>
  <c r="O486" i="85"/>
  <c r="O487" i="85"/>
  <c r="O488" i="85"/>
  <c r="O489" i="85"/>
  <c r="O490" i="85"/>
  <c r="T490" i="85"/>
  <c r="O491" i="85"/>
  <c r="O492" i="85"/>
  <c r="O493" i="85"/>
  <c r="O494" i="85"/>
  <c r="O495" i="85"/>
  <c r="O496" i="85"/>
  <c r="O497" i="85"/>
  <c r="O498" i="85"/>
  <c r="O499" i="85"/>
  <c r="O500" i="85"/>
  <c r="O501" i="85"/>
  <c r="O502" i="85"/>
  <c r="O503" i="85"/>
  <c r="O504" i="85"/>
  <c r="O505" i="85"/>
  <c r="O506" i="85"/>
  <c r="O507" i="85"/>
  <c r="O508" i="85"/>
  <c r="O509" i="85"/>
  <c r="O510" i="85"/>
  <c r="O511" i="85"/>
  <c r="O512" i="85"/>
  <c r="O513" i="85"/>
  <c r="O514" i="85"/>
  <c r="O515" i="85"/>
  <c r="O516" i="85"/>
  <c r="Y517" i="85"/>
  <c r="Z517" i="85"/>
  <c r="O517" i="85"/>
  <c r="O518" i="85"/>
  <c r="O519" i="85"/>
  <c r="O520" i="85"/>
  <c r="T521" i="85"/>
  <c r="O521" i="85"/>
  <c r="O522" i="85"/>
  <c r="O523" i="85"/>
  <c r="O524" i="85"/>
  <c r="O525" i="85"/>
  <c r="O526" i="85"/>
  <c r="O527" i="85"/>
  <c r="O528" i="85"/>
  <c r="T529" i="85"/>
  <c r="O529" i="85"/>
  <c r="O530" i="85"/>
  <c r="O531" i="85"/>
  <c r="O532" i="85"/>
  <c r="O533" i="85"/>
  <c r="O534" i="85"/>
  <c r="O535" i="85"/>
  <c r="O536" i="85"/>
  <c r="O537" i="85"/>
  <c r="O538" i="85"/>
  <c r="O539" i="85"/>
  <c r="O540" i="85"/>
  <c r="O541" i="85"/>
  <c r="O542" i="85"/>
  <c r="O543" i="85"/>
  <c r="O544" i="85"/>
  <c r="O545" i="85"/>
  <c r="O546" i="85"/>
  <c r="O547" i="85"/>
  <c r="O548" i="85"/>
  <c r="T549" i="85"/>
  <c r="O549" i="85"/>
  <c r="O550" i="85"/>
  <c r="O551" i="85"/>
  <c r="O552" i="85"/>
  <c r="O553" i="85"/>
  <c r="O554" i="85"/>
  <c r="O555" i="85"/>
  <c r="O556" i="85"/>
  <c r="O557" i="85"/>
  <c r="O558" i="85"/>
  <c r="O559" i="85"/>
  <c r="O560" i="85"/>
  <c r="O561" i="85"/>
  <c r="O562" i="85"/>
  <c r="O563" i="85"/>
  <c r="O564" i="85"/>
  <c r="O565" i="85"/>
  <c r="O566" i="85"/>
  <c r="O567" i="85"/>
  <c r="O568" i="85"/>
  <c r="O569" i="85"/>
  <c r="O570" i="85"/>
  <c r="O571" i="85"/>
  <c r="O572" i="85"/>
  <c r="O573" i="85"/>
  <c r="O574" i="85"/>
  <c r="O575" i="85"/>
  <c r="O576" i="85"/>
  <c r="O577" i="85"/>
  <c r="O578" i="85"/>
  <c r="O579" i="85"/>
  <c r="O580" i="85"/>
  <c r="T581" i="85"/>
  <c r="O581" i="85"/>
  <c r="O582" i="85"/>
  <c r="O583" i="85"/>
  <c r="O584" i="85"/>
  <c r="O585" i="85"/>
  <c r="O586" i="85"/>
  <c r="O587" i="85"/>
  <c r="O588" i="85"/>
  <c r="O589" i="85"/>
  <c r="O381" i="85"/>
  <c r="O382" i="85"/>
  <c r="O383" i="85"/>
  <c r="O384" i="85"/>
  <c r="O385" i="85"/>
  <c r="O386" i="85"/>
  <c r="O387" i="85"/>
  <c r="O388" i="85"/>
  <c r="O389" i="85"/>
  <c r="O390" i="85"/>
  <c r="O391" i="85"/>
  <c r="O392" i="85"/>
  <c r="O393" i="85"/>
  <c r="O394" i="85"/>
  <c r="O395" i="85"/>
  <c r="O396" i="85"/>
  <c r="O397" i="85"/>
  <c r="O398" i="85"/>
  <c r="O399" i="85"/>
  <c r="O400" i="85"/>
  <c r="O401" i="85"/>
  <c r="O402" i="85"/>
  <c r="O403" i="85"/>
  <c r="O404" i="85"/>
  <c r="O365" i="85"/>
  <c r="O366" i="85"/>
  <c r="O367" i="85"/>
  <c r="O368" i="85"/>
  <c r="O369" i="85"/>
  <c r="O370" i="85"/>
  <c r="O371" i="85"/>
  <c r="O372" i="85"/>
  <c r="O373" i="85"/>
  <c r="O374" i="85"/>
  <c r="O375" i="85"/>
  <c r="O376" i="85"/>
  <c r="O377" i="85"/>
  <c r="O378" i="85"/>
  <c r="O379" i="85"/>
  <c r="O380" i="85"/>
  <c r="T574" i="85"/>
  <c r="T526" i="85"/>
  <c r="Q522" i="85"/>
  <c r="R522" i="85"/>
  <c r="Y385" i="85"/>
  <c r="Z385" i="85"/>
  <c r="Y576" i="85"/>
  <c r="Z576" i="85"/>
  <c r="T573" i="85"/>
  <c r="Q510" i="85"/>
  <c r="R510" i="85"/>
  <c r="Q586" i="85"/>
  <c r="R586" i="85"/>
  <c r="Q582" i="85"/>
  <c r="R582" i="85"/>
  <c r="Q579" i="85"/>
  <c r="R579" i="85"/>
  <c r="Y522" i="85"/>
  <c r="Z522" i="85"/>
  <c r="Y520" i="85"/>
  <c r="Z520" i="85"/>
  <c r="Q511" i="85"/>
  <c r="R511" i="85"/>
  <c r="Y559" i="85"/>
  <c r="Z559" i="85"/>
  <c r="Q568" i="85"/>
  <c r="R568" i="85"/>
  <c r="Q566" i="85"/>
  <c r="R566" i="85"/>
  <c r="T562" i="85"/>
  <c r="Y534" i="85"/>
  <c r="Z534" i="85"/>
  <c r="Y497" i="85"/>
  <c r="Z497" i="85"/>
  <c r="T489" i="85"/>
  <c r="T482" i="85"/>
  <c r="T477" i="85"/>
  <c r="Y475" i="85"/>
  <c r="Z475" i="85"/>
  <c r="Q555" i="85"/>
  <c r="R555" i="85"/>
  <c r="Y550" i="85"/>
  <c r="Z550" i="85"/>
  <c r="Q541" i="85"/>
  <c r="R541" i="85"/>
  <c r="T525" i="85"/>
  <c r="T523" i="85"/>
  <c r="Y512" i="85"/>
  <c r="Z512" i="85"/>
  <c r="Q503" i="85"/>
  <c r="R503" i="85"/>
  <c r="Y502" i="85"/>
  <c r="Z502" i="85"/>
  <c r="Y531" i="85"/>
  <c r="Z531" i="85"/>
  <c r="Y530" i="85"/>
  <c r="Z530" i="85"/>
  <c r="Y584" i="85"/>
  <c r="Z584" i="85"/>
  <c r="Y567" i="85"/>
  <c r="Z567" i="85"/>
  <c r="Q560" i="85"/>
  <c r="R560" i="85"/>
  <c r="T557" i="85"/>
  <c r="T556" i="85"/>
  <c r="T554" i="85"/>
  <c r="T552" i="85"/>
  <c r="Y496" i="85"/>
  <c r="Z496" i="85"/>
  <c r="Y490" i="85"/>
  <c r="Z490" i="85"/>
  <c r="Y510" i="85"/>
  <c r="Z510" i="85"/>
  <c r="Y508" i="85"/>
  <c r="Z508" i="85"/>
  <c r="Y505" i="85"/>
  <c r="Z505" i="85"/>
  <c r="Q501" i="85"/>
  <c r="R501" i="85"/>
  <c r="Y482" i="85"/>
  <c r="Z482" i="85"/>
  <c r="T571" i="85"/>
  <c r="Q561" i="85"/>
  <c r="R561" i="85"/>
  <c r="Q550" i="85"/>
  <c r="R550" i="85"/>
  <c r="Y535" i="85"/>
  <c r="Z535" i="85"/>
  <c r="Q513" i="85"/>
  <c r="R513" i="85"/>
  <c r="Q506" i="85"/>
  <c r="R506" i="85"/>
  <c r="Y500" i="85"/>
  <c r="Z500" i="85"/>
  <c r="Y495" i="85"/>
  <c r="Z495" i="85"/>
  <c r="Y425" i="85"/>
  <c r="Z425" i="85"/>
  <c r="Y401" i="85"/>
  <c r="Z401" i="85"/>
  <c r="Y394" i="85"/>
  <c r="Z394" i="85"/>
  <c r="Y398" i="85"/>
  <c r="Z398" i="85"/>
  <c r="Y387" i="85"/>
  <c r="Z387" i="85"/>
  <c r="Y589" i="85"/>
  <c r="Z589" i="85"/>
  <c r="Q589" i="85"/>
  <c r="R589" i="85"/>
  <c r="Y566" i="85"/>
  <c r="Z566" i="85"/>
  <c r="Y563" i="85"/>
  <c r="Z563" i="85"/>
  <c r="Y585" i="85"/>
  <c r="Z585" i="85"/>
  <c r="Q585" i="85"/>
  <c r="R585" i="85"/>
  <c r="Y577" i="85"/>
  <c r="Z577" i="85"/>
  <c r="Y569" i="85"/>
  <c r="Z569" i="85"/>
  <c r="Y551" i="85"/>
  <c r="Z551" i="85"/>
  <c r="Y542" i="85"/>
  <c r="Z542" i="85"/>
  <c r="Q542" i="85"/>
  <c r="R542" i="85"/>
  <c r="Y543" i="85"/>
  <c r="Z543" i="85"/>
  <c r="Y528" i="85"/>
  <c r="Z528" i="85"/>
  <c r="Y509" i="85"/>
  <c r="Z509" i="85"/>
  <c r="Q507" i="85"/>
  <c r="R507" i="85"/>
  <c r="Y483" i="85"/>
  <c r="Z483" i="85"/>
  <c r="Q468" i="85"/>
  <c r="R468" i="85"/>
  <c r="Y468" i="85"/>
  <c r="Z468" i="85"/>
  <c r="Y588" i="85"/>
  <c r="Z588" i="85"/>
  <c r="T583" i="85"/>
  <c r="Y581" i="85"/>
  <c r="Z581" i="85"/>
  <c r="T575" i="85"/>
  <c r="Y573" i="85"/>
  <c r="Z573" i="85"/>
  <c r="T564" i="85"/>
  <c r="Y555" i="85"/>
  <c r="Z555" i="85"/>
  <c r="Y539" i="85"/>
  <c r="Z539" i="85"/>
  <c r="Y538" i="85"/>
  <c r="Z538" i="85"/>
  <c r="Y529" i="85"/>
  <c r="Z529" i="85"/>
  <c r="Y491" i="85"/>
  <c r="Z491" i="85"/>
  <c r="Y469" i="85"/>
  <c r="Z469" i="85"/>
  <c r="Q587" i="85"/>
  <c r="R587" i="85"/>
  <c r="Y580" i="85"/>
  <c r="Z580" i="85"/>
  <c r="Y558" i="85"/>
  <c r="Z558" i="85"/>
  <c r="Y525" i="85"/>
  <c r="Z525" i="85"/>
  <c r="Y524" i="85"/>
  <c r="Z524" i="85"/>
  <c r="Y516" i="85"/>
  <c r="Z516" i="85"/>
  <c r="Y494" i="85"/>
  <c r="Z494" i="85"/>
  <c r="Y474" i="85"/>
  <c r="Z474" i="85"/>
  <c r="Y547" i="85"/>
  <c r="Z547" i="85"/>
  <c r="Y546" i="85"/>
  <c r="Z546" i="85"/>
  <c r="Y504" i="85"/>
  <c r="Z504" i="85"/>
  <c r="Y470" i="85"/>
  <c r="Z470" i="85"/>
  <c r="Y463" i="85"/>
  <c r="Z463" i="85"/>
  <c r="Y572" i="85"/>
  <c r="Z572" i="85"/>
  <c r="Q567" i="85"/>
  <c r="R567" i="85"/>
  <c r="Y562" i="85"/>
  <c r="Z562" i="85"/>
  <c r="Q559" i="85"/>
  <c r="R559" i="85"/>
  <c r="Y554" i="85"/>
  <c r="Z554" i="85"/>
  <c r="Y526" i="85"/>
  <c r="Z526" i="85"/>
  <c r="Y521" i="85"/>
  <c r="Z521" i="85"/>
  <c r="Q519" i="85"/>
  <c r="R519" i="85"/>
  <c r="T515" i="85"/>
  <c r="Y514" i="85"/>
  <c r="Z514" i="85"/>
  <c r="Y499" i="85"/>
  <c r="Z499" i="85"/>
  <c r="Y498" i="85"/>
  <c r="Z498" i="85"/>
  <c r="Y486" i="85"/>
  <c r="Z486" i="85"/>
  <c r="Y478" i="85"/>
  <c r="Z478" i="85"/>
  <c r="Y472" i="85"/>
  <c r="Z472" i="85"/>
  <c r="T471" i="85"/>
  <c r="Y417" i="85"/>
  <c r="Z417" i="85"/>
  <c r="Y421" i="85"/>
  <c r="Z421" i="85"/>
  <c r="Y419" i="85"/>
  <c r="Z419" i="85"/>
  <c r="Y518" i="85"/>
  <c r="Z518" i="85"/>
  <c r="Y513" i="85"/>
  <c r="Z513" i="85"/>
  <c r="Y506" i="85"/>
  <c r="Z506" i="85"/>
  <c r="Y501" i="85"/>
  <c r="Z501" i="85"/>
  <c r="Y487" i="85"/>
  <c r="Z487" i="85"/>
  <c r="Y479" i="85"/>
  <c r="Z479" i="85"/>
  <c r="Y467" i="85"/>
  <c r="Z467" i="85"/>
  <c r="Y452" i="85"/>
  <c r="Z452" i="85"/>
  <c r="Y449" i="85"/>
  <c r="Z449" i="85"/>
  <c r="Y409" i="85"/>
  <c r="Z409" i="85"/>
  <c r="Y393" i="85"/>
  <c r="Z393" i="85"/>
  <c r="Y389" i="85"/>
  <c r="Z389" i="85"/>
  <c r="Y381" i="85"/>
  <c r="Z381" i="85"/>
  <c r="Y587" i="85"/>
  <c r="Z587" i="85"/>
  <c r="Y583" i="85"/>
  <c r="Z583" i="85"/>
  <c r="Y579" i="85"/>
  <c r="Z579" i="85"/>
  <c r="Y575" i="85"/>
  <c r="Z575" i="85"/>
  <c r="Y571" i="85"/>
  <c r="Z571" i="85"/>
  <c r="Y568" i="85"/>
  <c r="Z568" i="85"/>
  <c r="Y565" i="85"/>
  <c r="Z565" i="85"/>
  <c r="Y564" i="85"/>
  <c r="Z564" i="85"/>
  <c r="Y561" i="85"/>
  <c r="Z561" i="85"/>
  <c r="Y560" i="85"/>
  <c r="Z560" i="85"/>
  <c r="Y557" i="85"/>
  <c r="Z557" i="85"/>
  <c r="Y556" i="85"/>
  <c r="Z556" i="85"/>
  <c r="Y553" i="85"/>
  <c r="Z553" i="85"/>
  <c r="Y552" i="85"/>
  <c r="Z552" i="85"/>
  <c r="Y523" i="85"/>
  <c r="Z523" i="85"/>
  <c r="Y515" i="85"/>
  <c r="Z515" i="85"/>
  <c r="Y507" i="85"/>
  <c r="Z507" i="85"/>
  <c r="T488" i="85"/>
  <c r="Y488" i="85"/>
  <c r="Z488" i="85"/>
  <c r="Q548" i="85"/>
  <c r="R548" i="85"/>
  <c r="Y548" i="85"/>
  <c r="Z548" i="85"/>
  <c r="Q544" i="85"/>
  <c r="R544" i="85"/>
  <c r="Y544" i="85"/>
  <c r="Z544" i="85"/>
  <c r="Q540" i="85"/>
  <c r="R540" i="85"/>
  <c r="Y540" i="85"/>
  <c r="Z540" i="85"/>
  <c r="Y536" i="85"/>
  <c r="Z536" i="85"/>
  <c r="T532" i="85"/>
  <c r="Y532" i="85"/>
  <c r="Z532" i="85"/>
  <c r="Q588" i="85"/>
  <c r="R588" i="85"/>
  <c r="Y586" i="85"/>
  <c r="Z586" i="85"/>
  <c r="T584" i="85"/>
  <c r="Y582" i="85"/>
  <c r="Z582" i="85"/>
  <c r="T580" i="85"/>
  <c r="Y578" i="85"/>
  <c r="Z578" i="85"/>
  <c r="Y574" i="85"/>
  <c r="Z574" i="85"/>
  <c r="Q572" i="85"/>
  <c r="R572" i="85"/>
  <c r="Y570" i="85"/>
  <c r="Z570" i="85"/>
  <c r="Y527" i="85"/>
  <c r="Z527" i="85"/>
  <c r="Y519" i="85"/>
  <c r="Z519" i="85"/>
  <c r="Y511" i="85"/>
  <c r="Z511" i="85"/>
  <c r="Y503" i="85"/>
  <c r="Z503" i="85"/>
  <c r="T492" i="85"/>
  <c r="Y492" i="85"/>
  <c r="Z492" i="85"/>
  <c r="T476" i="85"/>
  <c r="Y476" i="85"/>
  <c r="Z476" i="85"/>
  <c r="Y549" i="85"/>
  <c r="Z549" i="85"/>
  <c r="Y545" i="85"/>
  <c r="Z545" i="85"/>
  <c r="T543" i="85"/>
  <c r="Y541" i="85"/>
  <c r="Z541" i="85"/>
  <c r="Y537" i="85"/>
  <c r="Z537" i="85"/>
  <c r="Q535" i="85"/>
  <c r="R535" i="85"/>
  <c r="Y533" i="85"/>
  <c r="Z533" i="85"/>
  <c r="T528" i="85"/>
  <c r="Q524" i="85"/>
  <c r="R524" i="85"/>
  <c r="T516" i="85"/>
  <c r="T508" i="85"/>
  <c r="T504" i="85"/>
  <c r="T500" i="85"/>
  <c r="T496" i="85"/>
  <c r="Q480" i="85"/>
  <c r="R480" i="85"/>
  <c r="Y480" i="85"/>
  <c r="Z480" i="85"/>
  <c r="Q484" i="85"/>
  <c r="R484" i="85"/>
  <c r="Y484" i="85"/>
  <c r="Z484" i="85"/>
  <c r="T495" i="85"/>
  <c r="Y493" i="85"/>
  <c r="Z493" i="85"/>
  <c r="T491" i="85"/>
  <c r="Y489" i="85"/>
  <c r="Z489" i="85"/>
  <c r="Y485" i="85"/>
  <c r="Z485" i="85"/>
  <c r="Y481" i="85"/>
  <c r="Z481" i="85"/>
  <c r="Y477" i="85"/>
  <c r="Z477" i="85"/>
  <c r="T475" i="85"/>
  <c r="Y473" i="85"/>
  <c r="Z473" i="85"/>
  <c r="Y471" i="85"/>
  <c r="Z471" i="85"/>
  <c r="Y431" i="85"/>
  <c r="Z431" i="85"/>
  <c r="Q467" i="85"/>
  <c r="R467" i="85"/>
  <c r="Y465" i="85"/>
  <c r="Z465" i="85"/>
  <c r="Y461" i="85"/>
  <c r="Z461" i="85"/>
  <c r="Y439" i="85"/>
  <c r="Z439" i="85"/>
  <c r="Y438" i="85"/>
  <c r="Z438" i="85"/>
  <c r="Y422" i="85"/>
  <c r="Z422" i="85"/>
  <c r="Y404" i="85"/>
  <c r="Z404" i="85"/>
  <c r="T538" i="85"/>
  <c r="Q474" i="85"/>
  <c r="R474" i="85"/>
  <c r="T514" i="85"/>
  <c r="T534" i="85"/>
  <c r="T510" i="85"/>
  <c r="Q538" i="85"/>
  <c r="R538" i="85"/>
  <c r="Q470" i="85"/>
  <c r="R470" i="85"/>
  <c r="T470" i="85"/>
  <c r="T511" i="85"/>
  <c r="T560" i="85"/>
  <c r="Q578" i="85"/>
  <c r="R578" i="85"/>
  <c r="T578" i="85"/>
  <c r="Q574" i="85"/>
  <c r="R574" i="85"/>
  <c r="T570" i="85"/>
  <c r="Q570" i="85"/>
  <c r="R570" i="85"/>
  <c r="Q499" i="85"/>
  <c r="R499" i="85"/>
  <c r="T499" i="85"/>
  <c r="Q485" i="85"/>
  <c r="R485" i="85"/>
  <c r="T485" i="85"/>
  <c r="Q514" i="85"/>
  <c r="R514" i="85"/>
  <c r="T542" i="85"/>
  <c r="Q490" i="85"/>
  <c r="R490" i="85"/>
  <c r="Q552" i="85"/>
  <c r="R552" i="85"/>
  <c r="T474" i="85"/>
  <c r="Q534" i="85"/>
  <c r="R534" i="85"/>
  <c r="Q557" i="85"/>
  <c r="R557" i="85"/>
  <c r="Q581" i="85"/>
  <c r="R581" i="85"/>
  <c r="Q583" i="85"/>
  <c r="R583" i="85"/>
  <c r="T565" i="85"/>
  <c r="Q565" i="85"/>
  <c r="R565" i="85"/>
  <c r="T550" i="85"/>
  <c r="Q523" i="85"/>
  <c r="R523" i="85"/>
  <c r="Q469" i="85"/>
  <c r="R469" i="85"/>
  <c r="T469" i="85"/>
  <c r="T555" i="85"/>
  <c r="Q526" i="85"/>
  <c r="R526" i="85"/>
  <c r="Q529" i="85"/>
  <c r="R529" i="85"/>
  <c r="Q482" i="85"/>
  <c r="R482" i="85"/>
  <c r="T498" i="85"/>
  <c r="Q498" i="85"/>
  <c r="R498" i="85"/>
  <c r="T509" i="85"/>
  <c r="Q509" i="85"/>
  <c r="R509" i="85"/>
  <c r="T530" i="85"/>
  <c r="Q530" i="85"/>
  <c r="R530" i="85"/>
  <c r="T533" i="85"/>
  <c r="Q533" i="85"/>
  <c r="R533" i="85"/>
  <c r="T506" i="85"/>
  <c r="Q545" i="85"/>
  <c r="R545" i="85"/>
  <c r="T545" i="85"/>
  <c r="Q517" i="85"/>
  <c r="R517" i="85"/>
  <c r="T517" i="85"/>
  <c r="Q497" i="85"/>
  <c r="R497" i="85"/>
  <c r="T497" i="85"/>
  <c r="Q505" i="85"/>
  <c r="R505" i="85"/>
  <c r="T505" i="85"/>
  <c r="O348" i="85"/>
  <c r="O349" i="85"/>
  <c r="O350" i="85"/>
  <c r="O351" i="85"/>
  <c r="O352" i="85"/>
  <c r="O353" i="85"/>
  <c r="O354" i="85"/>
  <c r="O355" i="85"/>
  <c r="O356" i="85"/>
  <c r="O357" i="85"/>
  <c r="O358" i="85"/>
  <c r="O359" i="85"/>
  <c r="O360" i="85"/>
  <c r="O361" i="85"/>
  <c r="O362" i="85"/>
  <c r="O363" i="85"/>
  <c r="O364" i="85"/>
  <c r="O167" i="85"/>
  <c r="Y375" i="85"/>
  <c r="Z375" i="85"/>
  <c r="Y372" i="85"/>
  <c r="Z372" i="85"/>
  <c r="Y348" i="85"/>
  <c r="Z348" i="85"/>
  <c r="Y352" i="85"/>
  <c r="Z352" i="85"/>
  <c r="Y354" i="85"/>
  <c r="Z354" i="85"/>
  <c r="Y360" i="85"/>
  <c r="Z360" i="85"/>
  <c r="Y364" i="85"/>
  <c r="Z364" i="85"/>
  <c r="Y366" i="85"/>
  <c r="Z366" i="85"/>
  <c r="Y368" i="85"/>
  <c r="Z368" i="85"/>
  <c r="Y370" i="85"/>
  <c r="Z370" i="85"/>
  <c r="O47" i="85"/>
  <c r="O48" i="85"/>
  <c r="O49" i="85"/>
  <c r="O50" i="85"/>
  <c r="O51" i="85"/>
  <c r="O52" i="85"/>
  <c r="O53" i="85"/>
  <c r="O54" i="85"/>
  <c r="O266" i="85"/>
  <c r="O267" i="85"/>
  <c r="O268" i="85"/>
  <c r="O269" i="85"/>
  <c r="O270" i="85"/>
  <c r="O271" i="85"/>
  <c r="O272" i="85"/>
  <c r="O273" i="85"/>
  <c r="O278" i="85"/>
  <c r="O279" i="85"/>
  <c r="O280" i="85"/>
  <c r="O281" i="85"/>
  <c r="O282" i="85"/>
  <c r="O283" i="85"/>
  <c r="O284" i="85"/>
  <c r="O285" i="85"/>
  <c r="O286" i="85"/>
  <c r="O287" i="85"/>
  <c r="O288" i="85"/>
  <c r="O289" i="85"/>
  <c r="O290" i="85"/>
  <c r="O291" i="85"/>
  <c r="O292" i="85"/>
  <c r="O293" i="85"/>
  <c r="O294" i="85"/>
  <c r="O295" i="85"/>
  <c r="O296" i="85"/>
  <c r="O297" i="85"/>
  <c r="O298" i="85"/>
  <c r="O299" i="85"/>
  <c r="O300" i="85"/>
  <c r="O301" i="85"/>
  <c r="O302" i="85"/>
  <c r="O303" i="85"/>
  <c r="O304" i="85"/>
  <c r="O305" i="85"/>
  <c r="O306" i="85"/>
  <c r="O307" i="85"/>
  <c r="O308" i="85"/>
  <c r="O309" i="85"/>
  <c r="O310" i="85"/>
  <c r="O311" i="85"/>
  <c r="O312" i="85"/>
  <c r="O313" i="85"/>
  <c r="O314" i="85"/>
  <c r="O315" i="85"/>
  <c r="O316" i="85"/>
  <c r="O317" i="85"/>
  <c r="O318" i="85"/>
  <c r="O319" i="85"/>
  <c r="O320" i="85"/>
  <c r="O321" i="85"/>
  <c r="O322" i="85"/>
  <c r="O323" i="85"/>
  <c r="O324" i="85"/>
  <c r="O325" i="85"/>
  <c r="O326" i="85"/>
  <c r="O327" i="85"/>
  <c r="O328" i="85"/>
  <c r="O329" i="85"/>
  <c r="O330" i="85"/>
  <c r="O331" i="85"/>
  <c r="O332" i="85"/>
  <c r="O333" i="85"/>
  <c r="O334" i="85"/>
  <c r="O335" i="85"/>
  <c r="O336" i="85"/>
  <c r="O337" i="85"/>
  <c r="O338" i="85"/>
  <c r="O339" i="85"/>
  <c r="O340" i="85"/>
  <c r="O341" i="85"/>
  <c r="O342" i="85"/>
  <c r="O343" i="85"/>
  <c r="O344" i="85"/>
  <c r="O345" i="85"/>
  <c r="O346" i="85"/>
  <c r="O347" i="85"/>
  <c r="Y95" i="85"/>
  <c r="Z95" i="85"/>
  <c r="Y344" i="85"/>
  <c r="Z344" i="85"/>
  <c r="Y341" i="85"/>
  <c r="Z341" i="85"/>
  <c r="Y306" i="85"/>
  <c r="Z306" i="85"/>
  <c r="Y337" i="85"/>
  <c r="Z337" i="85"/>
  <c r="Y335" i="85"/>
  <c r="Z335" i="85"/>
  <c r="O236" i="85"/>
  <c r="O252" i="85"/>
  <c r="O253" i="85"/>
  <c r="O254" i="85"/>
  <c r="O255" i="85"/>
  <c r="O256" i="85"/>
  <c r="O257" i="85"/>
  <c r="O258" i="85"/>
  <c r="O259" i="85"/>
  <c r="O260" i="85"/>
  <c r="O261" i="85"/>
  <c r="O262" i="85"/>
  <c r="O263" i="85"/>
  <c r="O264" i="85"/>
  <c r="O265" i="85"/>
  <c r="O235" i="85"/>
  <c r="O233" i="85"/>
  <c r="O231" i="85"/>
  <c r="O230" i="85"/>
  <c r="O229" i="85"/>
  <c r="O228" i="85"/>
  <c r="O227" i="85"/>
  <c r="O226" i="85"/>
  <c r="O225" i="85"/>
  <c r="O224" i="85"/>
  <c r="O223" i="85"/>
  <c r="O222" i="85"/>
  <c r="O221" i="85"/>
  <c r="O220" i="85"/>
  <c r="O219" i="85"/>
  <c r="O218" i="85"/>
  <c r="O217" i="85"/>
  <c r="O216" i="85"/>
  <c r="O215" i="85"/>
  <c r="O214" i="85"/>
  <c r="O213" i="85"/>
  <c r="O212" i="85"/>
  <c r="O211" i="85"/>
  <c r="O210" i="85"/>
  <c r="O209" i="85"/>
  <c r="O208" i="85"/>
  <c r="O207" i="85"/>
  <c r="O206" i="85"/>
  <c r="O205" i="85"/>
  <c r="O204" i="85"/>
  <c r="O203" i="85"/>
  <c r="O202" i="85"/>
  <c r="O201" i="85"/>
  <c r="O200" i="85"/>
  <c r="O199" i="85"/>
  <c r="O198" i="85"/>
  <c r="O197" i="85"/>
  <c r="O196" i="85"/>
  <c r="O195" i="85"/>
  <c r="O149" i="85"/>
  <c r="O148" i="85"/>
  <c r="O147" i="85"/>
  <c r="O146" i="85"/>
  <c r="O145" i="85"/>
  <c r="O144" i="85"/>
  <c r="O143" i="85"/>
  <c r="O142" i="85"/>
  <c r="O141" i="85"/>
  <c r="O140" i="85"/>
  <c r="O139" i="85"/>
  <c r="O138" i="85"/>
  <c r="O137" i="85"/>
  <c r="O136" i="85"/>
  <c r="O135" i="85"/>
  <c r="O134" i="85"/>
  <c r="O133" i="85"/>
  <c r="O132" i="85"/>
  <c r="O131" i="85"/>
  <c r="O130" i="85"/>
  <c r="O129" i="85"/>
  <c r="O128" i="85"/>
  <c r="O127" i="85"/>
  <c r="O126" i="85"/>
  <c r="O125" i="85"/>
  <c r="O124" i="85"/>
  <c r="O123" i="85"/>
  <c r="O122" i="85"/>
  <c r="O121" i="85"/>
  <c r="O120" i="85"/>
  <c r="O119" i="85"/>
  <c r="O118" i="85"/>
  <c r="O117" i="85"/>
  <c r="O116" i="85"/>
  <c r="O115" i="85"/>
  <c r="O114" i="85"/>
  <c r="O113" i="85"/>
  <c r="O112" i="85"/>
  <c r="O111" i="85"/>
  <c r="O110" i="85"/>
  <c r="O109" i="85"/>
  <c r="O108" i="85"/>
  <c r="O107" i="85"/>
  <c r="O106" i="85"/>
  <c r="O105" i="85"/>
  <c r="O104" i="85"/>
  <c r="O103" i="85"/>
  <c r="O102" i="85"/>
  <c r="O101" i="85"/>
  <c r="O100" i="85"/>
  <c r="O99" i="85"/>
  <c r="O98" i="85"/>
  <c r="O97" i="85"/>
  <c r="O96" i="85"/>
  <c r="O95" i="85"/>
  <c r="O94" i="85"/>
  <c r="O93" i="85"/>
  <c r="O92" i="85"/>
  <c r="O91" i="85"/>
  <c r="O90" i="85"/>
  <c r="O89" i="85"/>
  <c r="O88" i="85"/>
  <c r="O87" i="85"/>
  <c r="O86" i="85"/>
  <c r="O85" i="85"/>
  <c r="O84" i="85"/>
  <c r="O83" i="85"/>
  <c r="O82" i="85"/>
  <c r="O81" i="85"/>
  <c r="O80" i="85"/>
  <c r="O79" i="85"/>
  <c r="O78" i="85"/>
  <c r="O77" i="85"/>
  <c r="O76" i="85"/>
  <c r="O75" i="85"/>
  <c r="O74" i="85"/>
  <c r="O73" i="85"/>
  <c r="O71" i="85"/>
  <c r="O70" i="85"/>
  <c r="O69" i="85"/>
  <c r="O68" i="85"/>
  <c r="O67" i="85"/>
  <c r="O66" i="85"/>
  <c r="O65" i="85"/>
  <c r="O64" i="85"/>
  <c r="O63" i="85"/>
  <c r="O62" i="85"/>
  <c r="O61" i="85"/>
  <c r="O60" i="85"/>
  <c r="O59" i="85"/>
  <c r="O58" i="85"/>
  <c r="O57" i="85"/>
  <c r="O56" i="85"/>
  <c r="O55" i="85"/>
  <c r="O46" i="85"/>
  <c r="O45" i="85"/>
  <c r="O44" i="85"/>
  <c r="O43" i="85"/>
  <c r="O42" i="85"/>
  <c r="O41" i="85"/>
  <c r="O3" i="85"/>
  <c r="Y254" i="85"/>
  <c r="Z254" i="85"/>
  <c r="Y268" i="85"/>
  <c r="Z268" i="85"/>
  <c r="Y201" i="85"/>
  <c r="Z201" i="85"/>
  <c r="Y210" i="85"/>
  <c r="Z210" i="85"/>
  <c r="O232" i="85"/>
  <c r="Y205" i="85"/>
  <c r="Z205" i="85"/>
  <c r="Y234" i="85"/>
  <c r="Z234" i="85"/>
  <c r="Y204" i="85"/>
  <c r="Z204" i="85"/>
  <c r="Y208" i="85"/>
  <c r="Z208" i="85"/>
  <c r="Y207" i="85"/>
  <c r="Z207" i="85"/>
  <c r="Y217" i="85"/>
  <c r="Z217" i="85"/>
  <c r="Y209" i="85"/>
  <c r="Z209" i="85"/>
  <c r="O234" i="85"/>
  <c r="O150" i="85"/>
  <c r="O154" i="85"/>
  <c r="O158" i="85"/>
  <c r="O162" i="85"/>
  <c r="O166" i="85"/>
  <c r="O170" i="85"/>
  <c r="O174" i="85"/>
  <c r="O178" i="85"/>
  <c r="O186" i="85"/>
  <c r="O190" i="85"/>
  <c r="O194" i="85"/>
  <c r="O176" i="85"/>
  <c r="O177" i="85"/>
  <c r="O181" i="85"/>
  <c r="O182" i="85"/>
  <c r="O185" i="85"/>
  <c r="O189" i="85"/>
  <c r="O193" i="85"/>
  <c r="O184" i="85"/>
  <c r="O18" i="85"/>
  <c r="O151" i="85"/>
  <c r="O152" i="85"/>
  <c r="O155" i="85"/>
  <c r="O156" i="85"/>
  <c r="O159" i="85"/>
  <c r="O160" i="85"/>
  <c r="O163" i="85"/>
  <c r="O164" i="85"/>
  <c r="O168" i="85"/>
  <c r="O171" i="85"/>
  <c r="O172" i="85"/>
  <c r="O175" i="85"/>
  <c r="O179" i="85"/>
  <c r="O180" i="85"/>
  <c r="O183" i="85"/>
  <c r="O187" i="85"/>
  <c r="O153" i="85"/>
  <c r="O157" i="85"/>
  <c r="O161" i="85"/>
  <c r="O165" i="85"/>
  <c r="O169" i="85"/>
  <c r="O173" i="85"/>
  <c r="O188" i="85"/>
  <c r="O191" i="85"/>
  <c r="O192" i="85"/>
  <c r="Y113" i="85"/>
  <c r="Z113" i="85"/>
  <c r="Y114" i="85"/>
  <c r="Z114" i="85"/>
  <c r="Y124" i="85"/>
  <c r="Z124" i="85"/>
  <c r="Y125" i="85"/>
  <c r="Z125" i="85"/>
  <c r="Y133" i="85"/>
  <c r="Z133" i="85"/>
  <c r="Y139" i="85"/>
  <c r="Z139" i="85"/>
  <c r="Y165" i="85"/>
  <c r="Z165" i="85"/>
  <c r="Y183" i="85"/>
  <c r="Z183" i="85"/>
  <c r="Y189" i="85"/>
  <c r="Z189" i="85"/>
  <c r="Y199" i="85"/>
  <c r="Z199" i="85"/>
  <c r="O39" i="85"/>
  <c r="O33" i="85"/>
  <c r="O31" i="85"/>
  <c r="O23" i="85"/>
  <c r="O21" i="85"/>
  <c r="O20" i="85"/>
  <c r="O19" i="85"/>
  <c r="O8" i="85"/>
  <c r="O7" i="85"/>
  <c r="O32" i="85"/>
  <c r="O24" i="85"/>
  <c r="O16" i="85"/>
  <c r="O38" i="85"/>
  <c r="O30" i="85"/>
  <c r="O37" i="85"/>
  <c r="O29" i="85"/>
  <c r="O15" i="85"/>
  <c r="O13" i="85"/>
  <c r="O11" i="85"/>
  <c r="O36" i="85"/>
  <c r="O28" i="85"/>
  <c r="O12" i="85"/>
  <c r="O9" i="85"/>
  <c r="O34" i="85"/>
  <c r="O26" i="85"/>
  <c r="O22" i="85"/>
  <c r="O14" i="85"/>
  <c r="O10" i="85"/>
  <c r="O17" i="85"/>
  <c r="O25" i="85"/>
  <c r="O27" i="85"/>
  <c r="H3" i="85"/>
  <c r="E3" i="85"/>
  <c r="D3" i="85"/>
  <c r="C3" i="85"/>
  <c r="B3" i="85"/>
  <c r="Y3" i="85"/>
  <c r="Z3" i="85"/>
  <c r="O5" i="85"/>
  <c r="O4" i="85"/>
  <c r="O6" i="85"/>
  <c r="U3" i="85"/>
  <c r="P11" i="85"/>
  <c r="P5" i="85"/>
  <c r="Y56" i="85"/>
  <c r="Z56" i="85"/>
  <c r="Y23" i="85"/>
  <c r="Z23" i="85"/>
  <c r="Y64" i="85"/>
  <c r="Z64" i="85"/>
  <c r="P23" i="85"/>
  <c r="Y41" i="85"/>
  <c r="Z41" i="85"/>
  <c r="P9" i="85"/>
  <c r="Y162" i="85"/>
  <c r="Z162" i="85"/>
  <c r="Y178" i="85"/>
  <c r="Z178" i="85"/>
  <c r="Y166" i="85"/>
  <c r="Z166" i="85"/>
  <c r="Y38" i="85"/>
  <c r="Z38" i="85"/>
  <c r="Y58" i="85"/>
  <c r="Z58" i="85"/>
  <c r="Y14" i="85"/>
  <c r="Z14" i="85"/>
  <c r="P12" i="85"/>
  <c r="Y43" i="85"/>
  <c r="Z43" i="85"/>
  <c r="Y128" i="85"/>
  <c r="Z128" i="85"/>
  <c r="Y48" i="85"/>
  <c r="Z48" i="85"/>
  <c r="Y18" i="85"/>
  <c r="Z18" i="85"/>
  <c r="Y63" i="85"/>
  <c r="Z63" i="85"/>
  <c r="Y59" i="85"/>
  <c r="Z59" i="85"/>
  <c r="Y156" i="85"/>
  <c r="Z156" i="85"/>
  <c r="Y8" i="85"/>
  <c r="Z8" i="85"/>
  <c r="Y61" i="85"/>
  <c r="Z61" i="85"/>
  <c r="P16" i="85"/>
  <c r="Y31" i="85"/>
  <c r="Z31" i="85"/>
  <c r="Y152" i="85"/>
  <c r="Z152" i="85"/>
  <c r="P21" i="85"/>
  <c r="Y67" i="85"/>
  <c r="Z67" i="85"/>
  <c r="P8" i="85"/>
  <c r="Y168" i="85"/>
  <c r="Z168" i="85"/>
  <c r="P10" i="85"/>
  <c r="Y154" i="85"/>
  <c r="Z154" i="85"/>
  <c r="Y160" i="85"/>
  <c r="Z160" i="85"/>
  <c r="P6" i="85"/>
  <c r="Y50" i="85"/>
  <c r="Z50" i="85"/>
  <c r="P20" i="85"/>
  <c r="P14" i="85"/>
  <c r="Y34" i="85"/>
  <c r="Z34" i="85"/>
  <c r="Y30" i="85"/>
  <c r="Z30" i="85"/>
  <c r="Y11" i="85"/>
  <c r="Z11" i="85"/>
  <c r="Y167" i="85"/>
  <c r="Z167" i="85"/>
  <c r="Y86" i="85"/>
  <c r="Z86" i="85"/>
  <c r="Y78" i="85"/>
  <c r="Z78" i="85"/>
  <c r="P19" i="85"/>
  <c r="Y88" i="85"/>
  <c r="Z88" i="85"/>
  <c r="Y29" i="85"/>
  <c r="Z29" i="85"/>
  <c r="Y198" i="85"/>
  <c r="Z198" i="85"/>
  <c r="Y186" i="85"/>
  <c r="Z186" i="85"/>
  <c r="Y52" i="85"/>
  <c r="Z52" i="85"/>
  <c r="Y32" i="85"/>
  <c r="Z32" i="85"/>
  <c r="Y181" i="85"/>
  <c r="Z181" i="85"/>
  <c r="Y170" i="85"/>
  <c r="Z170" i="85"/>
  <c r="Y9" i="85"/>
  <c r="Z9" i="85"/>
  <c r="Y85" i="85"/>
  <c r="Z85" i="85"/>
  <c r="Y176" i="85"/>
  <c r="Z176" i="85"/>
  <c r="Y7" i="85"/>
  <c r="Z7" i="85"/>
  <c r="Y122" i="85"/>
  <c r="Z122" i="85"/>
  <c r="Y76" i="85"/>
  <c r="Z76" i="85"/>
  <c r="Y62" i="85"/>
  <c r="Z62" i="85"/>
  <c r="P18" i="85"/>
  <c r="Y5" i="85"/>
  <c r="Z5" i="85"/>
  <c r="Y15" i="85"/>
  <c r="Z15" i="85"/>
  <c r="Y21" i="85"/>
  <c r="Z21" i="85"/>
  <c r="Y84" i="85"/>
  <c r="Z84" i="85"/>
  <c r="Y22" i="85"/>
  <c r="Z22" i="85"/>
  <c r="Y45" i="85"/>
  <c r="Z45" i="85"/>
  <c r="Y155" i="85"/>
  <c r="Z155" i="85"/>
  <c r="Y66" i="85"/>
  <c r="Z66" i="85"/>
  <c r="Y172" i="85"/>
  <c r="Z172" i="85"/>
  <c r="Y83" i="85"/>
  <c r="Z83" i="85"/>
  <c r="Y28" i="85"/>
  <c r="Z28" i="85"/>
  <c r="Y16" i="85"/>
  <c r="Z16" i="85"/>
  <c r="Y71" i="85"/>
  <c r="Z71" i="85"/>
  <c r="Y184" i="85"/>
  <c r="Z184" i="85"/>
  <c r="Y146" i="85"/>
  <c r="Z146" i="85"/>
  <c r="Y73" i="85"/>
  <c r="Z73" i="85"/>
  <c r="Y36" i="85"/>
  <c r="Z36" i="85"/>
  <c r="Y60" i="85"/>
  <c r="Z60" i="85"/>
  <c r="Y47" i="85"/>
  <c r="Z47" i="85"/>
  <c r="Y4" i="85"/>
  <c r="Z4" i="85"/>
  <c r="Y57" i="85"/>
  <c r="Z57" i="85"/>
  <c r="Y54" i="85"/>
  <c r="Z54" i="85"/>
  <c r="Y177" i="85"/>
  <c r="Z177" i="85"/>
  <c r="Y12" i="85"/>
  <c r="Z12" i="85"/>
  <c r="Y74" i="85"/>
  <c r="Z74" i="85"/>
  <c r="Y37" i="85"/>
  <c r="Z37" i="85"/>
  <c r="Y46" i="85"/>
  <c r="Z46" i="85"/>
  <c r="P4" i="85"/>
  <c r="Y33" i="85"/>
  <c r="Z33" i="85"/>
  <c r="Y25" i="85"/>
  <c r="Z25" i="85"/>
  <c r="Y17" i="85"/>
  <c r="Z17" i="85"/>
  <c r="Y75" i="85"/>
  <c r="Z75" i="85"/>
  <c r="Y20" i="85"/>
  <c r="Z20" i="85"/>
  <c r="Y82" i="85"/>
  <c r="Z82" i="85"/>
  <c r="T486" i="85"/>
  <c r="Q486" i="85"/>
  <c r="R486" i="85"/>
  <c r="T566" i="85"/>
  <c r="T582" i="85"/>
  <c r="Q489" i="85"/>
  <c r="R489" i="85"/>
  <c r="Y163" i="85"/>
  <c r="Z163" i="85"/>
  <c r="Y169" i="85"/>
  <c r="Z169" i="85"/>
  <c r="Y187" i="85"/>
  <c r="Z187" i="85"/>
  <c r="Y171" i="85"/>
  <c r="Z171" i="85"/>
  <c r="Y161" i="85"/>
  <c r="Z161" i="85"/>
  <c r="Y200" i="85"/>
  <c r="Z200" i="85"/>
  <c r="Y202" i="85"/>
  <c r="Z202" i="85"/>
  <c r="Y206" i="85"/>
  <c r="Z206" i="85"/>
  <c r="Y173" i="85"/>
  <c r="Z173" i="85"/>
  <c r="Y175" i="85"/>
  <c r="Z175" i="85"/>
  <c r="Y159" i="85"/>
  <c r="Z159" i="85"/>
  <c r="Y179" i="85"/>
  <c r="Z179" i="85"/>
  <c r="Y157" i="85"/>
  <c r="Z157" i="85"/>
  <c r="Y90" i="85"/>
  <c r="Z90" i="85"/>
  <c r="Y123" i="85"/>
  <c r="Z123" i="85"/>
  <c r="Y120" i="85"/>
  <c r="Z120" i="85"/>
  <c r="Y117" i="85"/>
  <c r="Z117" i="85"/>
  <c r="Y99" i="85"/>
  <c r="Z99" i="85"/>
  <c r="Y87" i="85"/>
  <c r="Z87" i="85"/>
  <c r="Y108" i="85"/>
  <c r="Z108" i="85"/>
  <c r="Y107" i="85"/>
  <c r="Z107" i="85"/>
  <c r="Y94" i="85"/>
  <c r="Z94" i="85"/>
  <c r="Y135" i="85"/>
  <c r="Z135" i="85"/>
  <c r="Y129" i="85"/>
  <c r="Z129" i="85"/>
  <c r="Y105" i="85"/>
  <c r="Z105" i="85"/>
  <c r="Y104" i="85"/>
  <c r="Z104" i="85"/>
  <c r="Y101" i="85"/>
  <c r="Z101" i="85"/>
  <c r="Y97" i="85"/>
  <c r="Z97" i="85"/>
  <c r="Y92" i="85"/>
  <c r="Z92" i="85"/>
  <c r="Y89" i="85"/>
  <c r="Z89" i="85"/>
  <c r="Y121" i="85"/>
  <c r="Z121" i="85"/>
  <c r="Y112" i="85"/>
  <c r="Z112" i="85"/>
  <c r="Y109" i="85"/>
  <c r="Z109" i="85"/>
  <c r="Y127" i="85"/>
  <c r="Z127" i="85"/>
  <c r="Y93" i="85"/>
  <c r="Z93" i="85"/>
  <c r="Y116" i="85"/>
  <c r="Z116" i="85"/>
  <c r="Y131" i="85"/>
  <c r="Z131" i="85"/>
  <c r="Y185" i="85"/>
  <c r="Z185" i="85"/>
  <c r="Y174" i="85"/>
  <c r="Z174" i="85"/>
  <c r="Y164" i="85"/>
  <c r="Z164" i="85"/>
  <c r="Y212" i="85"/>
  <c r="Z212" i="85"/>
  <c r="Y192" i="85"/>
  <c r="Z192" i="85"/>
  <c r="Y188" i="85"/>
  <c r="Z188" i="85"/>
  <c r="Y182" i="85"/>
  <c r="Z182" i="85"/>
  <c r="Y180" i="85"/>
  <c r="Z180" i="85"/>
  <c r="Y214" i="85"/>
  <c r="Z214" i="85"/>
  <c r="Y151" i="85"/>
  <c r="Z151" i="85"/>
  <c r="Y147" i="85"/>
  <c r="Z147" i="85"/>
  <c r="Y213" i="85"/>
  <c r="Z213" i="85"/>
  <c r="Y149" i="85"/>
  <c r="Z149" i="85"/>
  <c r="Y153" i="85"/>
  <c r="Z153" i="85"/>
  <c r="Y136" i="85"/>
  <c r="Z136" i="85"/>
  <c r="Y80" i="85"/>
  <c r="Z80" i="85"/>
  <c r="T572" i="85"/>
  <c r="T468" i="85"/>
  <c r="T507" i="85"/>
  <c r="Y356" i="85"/>
  <c r="Z356" i="85"/>
  <c r="Y436" i="85"/>
  <c r="Z436" i="85"/>
  <c r="Y432" i="85"/>
  <c r="Z432" i="85"/>
  <c r="Y350" i="85"/>
  <c r="Z350" i="85"/>
  <c r="Y191" i="85"/>
  <c r="Z191" i="85"/>
  <c r="Y19" i="85"/>
  <c r="Z19" i="85"/>
  <c r="Y459" i="85"/>
  <c r="Z459" i="85"/>
  <c r="Y455" i="85"/>
  <c r="Z455" i="85"/>
  <c r="Y448" i="85"/>
  <c r="Z448" i="85"/>
  <c r="Y447" i="85"/>
  <c r="Z447" i="85"/>
  <c r="Y444" i="85"/>
  <c r="Z444" i="85"/>
  <c r="Y443" i="85"/>
  <c r="Z443" i="85"/>
  <c r="Y440" i="85"/>
  <c r="Z440" i="85"/>
  <c r="Y428" i="85"/>
  <c r="Z428" i="85"/>
  <c r="Y424" i="85"/>
  <c r="Z424" i="85"/>
  <c r="Y423" i="85"/>
  <c r="Z423" i="85"/>
  <c r="Y420" i="85"/>
  <c r="Z420" i="85"/>
  <c r="Y416" i="85"/>
  <c r="Z416" i="85"/>
  <c r="Y412" i="85"/>
  <c r="Z412" i="85"/>
  <c r="Y408" i="85"/>
  <c r="Z408" i="85"/>
  <c r="Y400" i="85"/>
  <c r="Z400" i="85"/>
  <c r="Y396" i="85"/>
  <c r="Z396" i="85"/>
  <c r="Y392" i="85"/>
  <c r="Z392" i="85"/>
  <c r="Y388" i="85"/>
  <c r="Z388" i="85"/>
  <c r="Y384" i="85"/>
  <c r="Z384" i="85"/>
  <c r="Y380" i="85"/>
  <c r="Z380" i="85"/>
  <c r="Y378" i="85"/>
  <c r="Z378" i="85"/>
  <c r="Y359" i="85"/>
  <c r="Z359" i="85"/>
  <c r="Y357" i="85"/>
  <c r="Z357" i="85"/>
  <c r="Y253" i="85"/>
  <c r="Z253" i="85"/>
  <c r="Y239" i="85"/>
  <c r="Z239" i="85"/>
  <c r="Y235" i="85"/>
  <c r="Z235" i="85"/>
  <c r="Y203" i="85"/>
  <c r="Z203" i="85"/>
  <c r="Y195" i="85"/>
  <c r="Z195" i="85"/>
  <c r="Y81" i="85"/>
  <c r="Z81" i="85"/>
  <c r="Y26" i="85"/>
  <c r="Z26" i="85"/>
  <c r="Y24" i="85"/>
  <c r="Z24" i="85"/>
  <c r="Y355" i="85"/>
  <c r="Z355" i="85"/>
  <c r="Y353" i="85"/>
  <c r="Z353" i="85"/>
  <c r="Y150" i="85"/>
  <c r="Z150" i="85"/>
  <c r="Y148" i="85"/>
  <c r="Z148" i="85"/>
  <c r="Y98" i="85"/>
  <c r="Z98" i="85"/>
  <c r="Y96" i="85"/>
  <c r="Z96" i="85"/>
  <c r="Y91" i="85"/>
  <c r="Z91" i="85"/>
  <c r="P13" i="85"/>
  <c r="Y13" i="85"/>
  <c r="Z13" i="85"/>
  <c r="Y10" i="85"/>
  <c r="Z10" i="85"/>
  <c r="Y6" i="85"/>
  <c r="Z6" i="85"/>
  <c r="Y126" i="85"/>
  <c r="Z126" i="85"/>
  <c r="Y132" i="85"/>
  <c r="Z132" i="85"/>
  <c r="Y44" i="85"/>
  <c r="Z44" i="85"/>
  <c r="J430" i="85"/>
  <c r="J417" i="85"/>
  <c r="Y454" i="85"/>
  <c r="Z454" i="85"/>
  <c r="Y369" i="85"/>
  <c r="Z369" i="85"/>
  <c r="Y358" i="85"/>
  <c r="Z358" i="85"/>
  <c r="Y248" i="85"/>
  <c r="Z248" i="85"/>
  <c r="Y233" i="85"/>
  <c r="Z233" i="85"/>
  <c r="Y72" i="85"/>
  <c r="Z72" i="85"/>
  <c r="AK18" i="85"/>
  <c r="J18" i="85"/>
  <c r="J34" i="85"/>
  <c r="J190" i="85"/>
  <c r="J396" i="85"/>
  <c r="J394" i="85"/>
  <c r="J380" i="85"/>
  <c r="J364" i="85"/>
  <c r="J362" i="85"/>
  <c r="J58" i="85"/>
  <c r="AK7" i="85"/>
  <c r="J7" i="85"/>
  <c r="AK23" i="85"/>
  <c r="J23" i="85"/>
  <c r="J39" i="85"/>
  <c r="J214" i="85"/>
  <c r="J211" i="85"/>
  <c r="J161" i="85"/>
  <c r="J167" i="85"/>
  <c r="J171" i="85"/>
  <c r="J172" i="85"/>
  <c r="J174" i="85"/>
  <c r="J178" i="85"/>
  <c r="Y346" i="85"/>
  <c r="Z346" i="85"/>
  <c r="Y264" i="85"/>
  <c r="Z264" i="85"/>
  <c r="Y230" i="85"/>
  <c r="Z230" i="85"/>
  <c r="Y111" i="85"/>
  <c r="Z111" i="85"/>
  <c r="J10" i="85"/>
  <c r="AK19" i="85"/>
  <c r="J19" i="85"/>
  <c r="J35" i="85"/>
  <c r="J191" i="85"/>
  <c r="J154" i="85"/>
  <c r="J157" i="85"/>
  <c r="J159" i="85"/>
  <c r="Y373" i="85"/>
  <c r="Z373" i="85"/>
  <c r="Y351" i="85"/>
  <c r="Z351" i="85"/>
  <c r="Y349" i="85"/>
  <c r="Z349" i="85"/>
  <c r="Y35" i="85"/>
  <c r="Z35" i="85"/>
  <c r="J443" i="85"/>
  <c r="AK14" i="85"/>
  <c r="J14" i="85"/>
  <c r="J30" i="85"/>
  <c r="J45" i="85"/>
  <c r="J74" i="85"/>
  <c r="J81" i="85"/>
  <c r="J87" i="85"/>
  <c r="J89" i="85"/>
  <c r="J122" i="85"/>
  <c r="J125" i="85"/>
  <c r="J129" i="85"/>
  <c r="J133" i="85"/>
  <c r="J446" i="85"/>
  <c r="J433" i="85"/>
  <c r="J426" i="85"/>
  <c r="J348" i="85"/>
  <c r="J346" i="85"/>
  <c r="J200" i="85"/>
  <c r="J414" i="85"/>
  <c r="J405" i="85"/>
  <c r="J344" i="85"/>
  <c r="J132" i="85"/>
  <c r="J95" i="85"/>
  <c r="J38" i="85"/>
  <c r="J22" i="85"/>
  <c r="J223" i="85"/>
  <c r="Y453" i="85"/>
  <c r="Z453" i="85"/>
  <c r="Y445" i="85"/>
  <c r="Z445" i="85"/>
  <c r="Y437" i="85"/>
  <c r="Z437" i="85"/>
  <c r="Y433" i="85"/>
  <c r="Z433" i="85"/>
  <c r="Y430" i="85"/>
  <c r="Z430" i="85"/>
  <c r="Y382" i="85"/>
  <c r="Z382" i="85"/>
  <c r="Y338" i="85"/>
  <c r="Z338" i="85"/>
  <c r="Y336" i="85"/>
  <c r="Z336" i="85"/>
  <c r="Y334" i="85"/>
  <c r="Z334" i="85"/>
  <c r="Y330" i="85"/>
  <c r="Z330" i="85"/>
  <c r="Y324" i="85"/>
  <c r="Z324" i="85"/>
  <c r="Y247" i="85"/>
  <c r="Z247" i="85"/>
  <c r="J6" i="85"/>
  <c r="J455" i="85"/>
  <c r="J450" i="85"/>
  <c r="J447" i="85"/>
  <c r="J434" i="85"/>
  <c r="J425" i="85"/>
  <c r="J421" i="85"/>
  <c r="J149" i="85"/>
  <c r="J131" i="85"/>
  <c r="J91" i="85"/>
  <c r="J73" i="85"/>
  <c r="J43" i="85"/>
  <c r="J27" i="85"/>
  <c r="J11" i="85"/>
  <c r="J186" i="85"/>
  <c r="J202" i="85"/>
  <c r="J195" i="85"/>
  <c r="J84" i="85"/>
  <c r="J117" i="85"/>
  <c r="J241" i="85"/>
  <c r="J238" i="85"/>
  <c r="J184" i="85"/>
  <c r="J263" i="85"/>
  <c r="P3" i="85"/>
  <c r="Y361" i="85"/>
  <c r="Z361" i="85"/>
  <c r="Y397" i="85"/>
  <c r="Z397" i="85"/>
  <c r="Y457" i="85"/>
  <c r="Z457" i="85"/>
  <c r="Y458" i="85"/>
  <c r="Z458" i="85"/>
  <c r="Y390" i="85"/>
  <c r="Z390" i="85"/>
  <c r="Y410" i="85"/>
  <c r="Z410" i="85"/>
  <c r="Y407" i="85"/>
  <c r="Z407" i="85"/>
  <c r="Y395" i="85"/>
  <c r="Z395" i="85"/>
  <c r="Y460" i="85"/>
  <c r="Z460" i="85"/>
  <c r="Y263" i="85"/>
  <c r="Z263" i="85"/>
  <c r="Y241" i="85"/>
  <c r="Z241" i="85"/>
  <c r="Y238" i="85"/>
  <c r="Z238" i="85"/>
  <c r="Y196" i="85"/>
  <c r="Z196" i="85"/>
  <c r="Y303" i="85"/>
  <c r="Z303" i="85"/>
  <c r="J403" i="85"/>
  <c r="J56" i="85"/>
  <c r="J60" i="85"/>
  <c r="AK4" i="85"/>
  <c r="J4" i="85"/>
  <c r="J8" i="85"/>
  <c r="AK8" i="85"/>
  <c r="J12" i="85"/>
  <c r="AK12" i="85"/>
  <c r="J16" i="85"/>
  <c r="AK16" i="85"/>
  <c r="J20" i="85"/>
  <c r="AK20" i="85"/>
  <c r="J24" i="85"/>
  <c r="J28" i="85"/>
  <c r="J32" i="85"/>
  <c r="J36" i="85"/>
  <c r="J40" i="85"/>
  <c r="J44" i="85"/>
  <c r="J49" i="85"/>
  <c r="J51" i="85"/>
  <c r="J85" i="85"/>
  <c r="Y343" i="85"/>
  <c r="Z343" i="85"/>
  <c r="Y246" i="85"/>
  <c r="Z246" i="85"/>
  <c r="Y244" i="85"/>
  <c r="Z244" i="85"/>
  <c r="Y138" i="85"/>
  <c r="Z138" i="85"/>
  <c r="Y102" i="85"/>
  <c r="Z102" i="85"/>
  <c r="Y100" i="85"/>
  <c r="Z100" i="85"/>
  <c r="Y40" i="85"/>
  <c r="Z40" i="85"/>
  <c r="J449" i="85"/>
  <c r="J342" i="85"/>
  <c r="Y347" i="85"/>
  <c r="Z347" i="85"/>
  <c r="Y446" i="85"/>
  <c r="Z446" i="85"/>
  <c r="Y441" i="85"/>
  <c r="Z441" i="85"/>
  <c r="Y399" i="85"/>
  <c r="Z399" i="85"/>
  <c r="Y405" i="85"/>
  <c r="Z405" i="85"/>
  <c r="Y456" i="85"/>
  <c r="Z456" i="85"/>
  <c r="Y413" i="85"/>
  <c r="Z413" i="85"/>
  <c r="Y435" i="85"/>
  <c r="Z435" i="85"/>
  <c r="Y427" i="85"/>
  <c r="Z427" i="85"/>
  <c r="Y411" i="85"/>
  <c r="Z411" i="85"/>
  <c r="Y391" i="85"/>
  <c r="Z391" i="85"/>
  <c r="Y304" i="85"/>
  <c r="Z304" i="85"/>
  <c r="Y242" i="85"/>
  <c r="Z242" i="85"/>
  <c r="Y240" i="85"/>
  <c r="Z240" i="85"/>
  <c r="Y237" i="85"/>
  <c r="Z237" i="85"/>
  <c r="Y222" i="85"/>
  <c r="Z222" i="85"/>
  <c r="Y79" i="85"/>
  <c r="Z79" i="85"/>
  <c r="Y69" i="85"/>
  <c r="Z69" i="85"/>
  <c r="J435" i="85"/>
  <c r="J415" i="85"/>
  <c r="Y442" i="85"/>
  <c r="Z442" i="85"/>
  <c r="Y434" i="85"/>
  <c r="Z434" i="85"/>
  <c r="Y426" i="85"/>
  <c r="Z426" i="85"/>
  <c r="Y418" i="85"/>
  <c r="Z418" i="85"/>
  <c r="Y414" i="85"/>
  <c r="Z414" i="85"/>
  <c r="Y406" i="85"/>
  <c r="Z406" i="85"/>
  <c r="Y402" i="85"/>
  <c r="Z402" i="85"/>
  <c r="Y386" i="85"/>
  <c r="Z386" i="85"/>
  <c r="Y245" i="85"/>
  <c r="Z245" i="85"/>
  <c r="Y243" i="85"/>
  <c r="Z243" i="85"/>
  <c r="Y193" i="85"/>
  <c r="Z193" i="85"/>
  <c r="Y68" i="85"/>
  <c r="Z68" i="85"/>
  <c r="J456" i="85"/>
  <c r="J442" i="85"/>
  <c r="J437" i="85"/>
  <c r="J422" i="85"/>
  <c r="J93" i="85"/>
  <c r="J94" i="85"/>
  <c r="J458" i="85"/>
  <c r="J431" i="85"/>
  <c r="J388" i="85"/>
  <c r="J372" i="85"/>
  <c r="J356" i="85"/>
  <c r="J76" i="85"/>
  <c r="J201" i="85"/>
  <c r="J205" i="85"/>
  <c r="J208" i="85"/>
  <c r="J152" i="85"/>
  <c r="J164" i="85"/>
  <c r="J176" i="85"/>
  <c r="Y142" i="85"/>
  <c r="Z142" i="85"/>
  <c r="J459" i="85"/>
  <c r="J452" i="85"/>
  <c r="J439" i="85"/>
  <c r="J429" i="85"/>
  <c r="J350" i="85"/>
  <c r="J57" i="85"/>
  <c r="J61" i="85"/>
  <c r="AK9" i="85"/>
  <c r="J9" i="85"/>
  <c r="AK13" i="85"/>
  <c r="J13" i="85"/>
  <c r="AK17" i="85"/>
  <c r="J17" i="85"/>
  <c r="AK21" i="85"/>
  <c r="J21" i="85"/>
  <c r="J25" i="85"/>
  <c r="J29" i="85"/>
  <c r="J33" i="85"/>
  <c r="J37" i="85"/>
  <c r="J41" i="85"/>
  <c r="J53" i="85"/>
  <c r="J77" i="85"/>
  <c r="J124" i="85"/>
  <c r="J207" i="85"/>
  <c r="J206" i="85"/>
  <c r="J209" i="85"/>
  <c r="J237" i="85"/>
  <c r="J234" i="85"/>
  <c r="J160" i="85"/>
  <c r="J168" i="85"/>
  <c r="Y274" i="85"/>
  <c r="Z274" i="85"/>
  <c r="J128" i="85"/>
  <c r="J188" i="85"/>
  <c r="J192" i="85"/>
  <c r="J198" i="85"/>
  <c r="J148" i="85"/>
  <c r="J156" i="85"/>
  <c r="J181" i="85"/>
  <c r="J183" i="85"/>
  <c r="Y374" i="85"/>
  <c r="Z374" i="85"/>
  <c r="Y258" i="85"/>
  <c r="Z258" i="85"/>
  <c r="Y70" i="85"/>
  <c r="Z70" i="85"/>
  <c r="J460" i="85"/>
  <c r="J454" i="85"/>
  <c r="J445" i="85"/>
  <c r="J423" i="85"/>
  <c r="J413" i="85"/>
  <c r="J66" i="85"/>
  <c r="J54" i="85"/>
  <c r="J46" i="85"/>
  <c r="J48" i="85"/>
  <c r="J72" i="85"/>
  <c r="J88" i="85"/>
  <c r="J127" i="85"/>
  <c r="J204" i="85"/>
  <c r="J203" i="85"/>
  <c r="J235" i="85"/>
  <c r="J247" i="85"/>
  <c r="Y145" i="85"/>
  <c r="Z145" i="85"/>
  <c r="Y141" i="85"/>
  <c r="Z141" i="85"/>
  <c r="Y137" i="85"/>
  <c r="Z137" i="85"/>
  <c r="J457" i="85"/>
  <c r="J453" i="85"/>
  <c r="J71" i="85"/>
  <c r="J92" i="85"/>
  <c r="J187" i="85"/>
  <c r="J213" i="85"/>
  <c r="J210" i="85"/>
  <c r="J217" i="85"/>
  <c r="J245" i="85"/>
  <c r="J240" i="85"/>
  <c r="J233" i="85"/>
  <c r="J253" i="85"/>
  <c r="Q515" i="85"/>
  <c r="R515" i="85"/>
  <c r="T559" i="85"/>
  <c r="Q525" i="85"/>
  <c r="R525" i="85"/>
  <c r="Q549" i="85"/>
  <c r="R549" i="85"/>
  <c r="T501" i="85"/>
  <c r="Q477" i="85"/>
  <c r="R477" i="85"/>
  <c r="T519" i="85"/>
  <c r="Q573" i="85"/>
  <c r="R573" i="85"/>
  <c r="T585" i="85"/>
  <c r="T561" i="85"/>
  <c r="Q521" i="85"/>
  <c r="R521" i="85"/>
  <c r="T503" i="85"/>
  <c r="T548" i="85"/>
  <c r="Q495" i="85"/>
  <c r="R495" i="85"/>
  <c r="Q575" i="85"/>
  <c r="R575" i="85"/>
  <c r="T541" i="85"/>
  <c r="Q562" i="85"/>
  <c r="R562" i="85"/>
  <c r="Q554" i="85"/>
  <c r="R554" i="85"/>
  <c r="T579" i="85"/>
  <c r="T484" i="85"/>
  <c r="Q496" i="85"/>
  <c r="R496" i="85"/>
  <c r="Q492" i="85"/>
  <c r="R492" i="85"/>
  <c r="Q584" i="85"/>
  <c r="R584" i="85"/>
  <c r="Q527" i="85"/>
  <c r="R527" i="85"/>
  <c r="T527" i="85"/>
  <c r="Q528" i="85"/>
  <c r="R528" i="85"/>
  <c r="T536" i="85"/>
  <c r="Q536" i="85"/>
  <c r="R536" i="85"/>
  <c r="T524" i="85"/>
  <c r="T569" i="85"/>
  <c r="Q569" i="85"/>
  <c r="R569" i="85"/>
  <c r="T522" i="85"/>
  <c r="T467" i="85"/>
  <c r="T568" i="85"/>
  <c r="Q491" i="85"/>
  <c r="R491" i="85"/>
  <c r="Q564" i="85"/>
  <c r="R564" i="85"/>
  <c r="T588" i="85"/>
  <c r="Q508" i="85"/>
  <c r="R508" i="85"/>
  <c r="T540" i="85"/>
  <c r="Q543" i="85"/>
  <c r="R543" i="85"/>
  <c r="T544" i="85"/>
  <c r="T567" i="85"/>
  <c r="Q556" i="85"/>
  <c r="R556" i="85"/>
  <c r="Q476" i="85"/>
  <c r="R476" i="85"/>
  <c r="Q504" i="85"/>
  <c r="R504" i="85"/>
  <c r="Q500" i="85"/>
  <c r="R500" i="85"/>
  <c r="Q475" i="85"/>
  <c r="R475" i="85"/>
  <c r="J215" i="85"/>
  <c r="J218" i="85"/>
  <c r="Y229" i="85"/>
  <c r="Z229" i="85"/>
  <c r="Y225" i="85"/>
  <c r="Z225" i="85"/>
  <c r="J219" i="85"/>
  <c r="J231" i="85"/>
  <c r="J221" i="85"/>
  <c r="Y218" i="85"/>
  <c r="Z218" i="85"/>
  <c r="Y226" i="85"/>
  <c r="Z226" i="85"/>
  <c r="Y224" i="85"/>
  <c r="Z224" i="85"/>
  <c r="J349" i="85"/>
  <c r="J345" i="85"/>
  <c r="Y429" i="85"/>
  <c r="Z429" i="85"/>
  <c r="Y450" i="85"/>
  <c r="Z450" i="85"/>
  <c r="J448" i="85"/>
  <c r="J444" i="85"/>
  <c r="J440" i="85"/>
  <c r="J436" i="85"/>
  <c r="J432" i="85"/>
  <c r="J428" i="85"/>
  <c r="J424" i="85"/>
  <c r="J420" i="85"/>
  <c r="J416" i="85"/>
  <c r="J412" i="85"/>
  <c r="J401" i="85"/>
  <c r="J399" i="85"/>
  <c r="J397" i="85"/>
  <c r="J393" i="85"/>
  <c r="J391" i="85"/>
  <c r="J389" i="85"/>
  <c r="J385" i="85"/>
  <c r="J383" i="85"/>
  <c r="J381" i="85"/>
  <c r="J379" i="85"/>
  <c r="J373" i="85"/>
  <c r="J371" i="85"/>
  <c r="J369" i="85"/>
  <c r="J367" i="85"/>
  <c r="J365" i="85"/>
  <c r="J361" i="85"/>
  <c r="J359" i="85"/>
  <c r="J357" i="85"/>
  <c r="J353" i="85"/>
  <c r="J351" i="85"/>
  <c r="J347" i="85"/>
  <c r="Y327" i="85"/>
  <c r="Z327" i="85"/>
  <c r="T563" i="85"/>
  <c r="Q563" i="85"/>
  <c r="R563" i="85"/>
  <c r="Q580" i="85"/>
  <c r="R580" i="85"/>
  <c r="T587" i="85"/>
  <c r="T558" i="85"/>
  <c r="Q558" i="85"/>
  <c r="R558" i="85"/>
  <c r="Q532" i="85"/>
  <c r="R532" i="85"/>
  <c r="T480" i="85"/>
  <c r="T479" i="85"/>
  <c r="Q479" i="85"/>
  <c r="R479" i="85"/>
  <c r="Q518" i="85"/>
  <c r="R518" i="85"/>
  <c r="T518" i="85"/>
  <c r="T472" i="85"/>
  <c r="Q472" i="85"/>
  <c r="R472" i="85"/>
  <c r="Q553" i="85"/>
  <c r="R553" i="85"/>
  <c r="T553" i="85"/>
  <c r="Q493" i="85"/>
  <c r="R493" i="85"/>
  <c r="T493" i="85"/>
  <c r="T537" i="85"/>
  <c r="Q537" i="85"/>
  <c r="R537" i="85"/>
  <c r="Q483" i="85"/>
  <c r="R483" i="85"/>
  <c r="T483" i="85"/>
  <c r="Q512" i="85"/>
  <c r="R512" i="85"/>
  <c r="T512" i="85"/>
  <c r="Q551" i="85"/>
  <c r="R551" i="85"/>
  <c r="T551" i="85"/>
  <c r="T494" i="85"/>
  <c r="Q494" i="85"/>
  <c r="R494" i="85"/>
  <c r="T535" i="85"/>
  <c r="Q487" i="85"/>
  <c r="R487" i="85"/>
  <c r="T487" i="85"/>
  <c r="Q481" i="85"/>
  <c r="R481" i="85"/>
  <c r="T481" i="85"/>
  <c r="Q471" i="85"/>
  <c r="R471" i="85"/>
  <c r="Q520" i="85"/>
  <c r="R520" i="85"/>
  <c r="T520" i="85"/>
  <c r="Q547" i="85"/>
  <c r="R547" i="85"/>
  <c r="T547" i="85"/>
  <c r="T576" i="85"/>
  <c r="Q576" i="85"/>
  <c r="R576" i="85"/>
  <c r="Q516" i="85"/>
  <c r="R516" i="85"/>
  <c r="Q488" i="85"/>
  <c r="R488" i="85"/>
  <c r="T589" i="85"/>
  <c r="Q546" i="85"/>
  <c r="R546" i="85"/>
  <c r="T546" i="85"/>
  <c r="Q418" i="85"/>
  <c r="R418" i="85"/>
  <c r="Q502" i="85"/>
  <c r="R502" i="85"/>
  <c r="T502" i="85"/>
  <c r="Q531" i="85"/>
  <c r="R531" i="85"/>
  <c r="T531" i="85"/>
  <c r="T539" i="85"/>
  <c r="Q539" i="85"/>
  <c r="R539" i="85"/>
  <c r="T577" i="85"/>
  <c r="Q577" i="85"/>
  <c r="R577" i="85"/>
  <c r="T478" i="85"/>
  <c r="Q478" i="85"/>
  <c r="R478" i="85"/>
  <c r="T473" i="85"/>
  <c r="Q473" i="85"/>
  <c r="R473" i="85"/>
  <c r="T513" i="85"/>
  <c r="Q571" i="85"/>
  <c r="R571" i="85"/>
  <c r="T586" i="85"/>
  <c r="Q454" i="85"/>
  <c r="R454" i="85"/>
  <c r="Q434" i="85"/>
  <c r="R434" i="85"/>
  <c r="T426" i="85"/>
  <c r="T422" i="85"/>
  <c r="Q358" i="85"/>
  <c r="R358" i="85"/>
  <c r="T361" i="85"/>
  <c r="T346" i="85"/>
  <c r="T457" i="85"/>
  <c r="T446" i="85"/>
  <c r="Q430" i="85"/>
  <c r="R430" i="85"/>
  <c r="Q414" i="85"/>
  <c r="R414" i="85"/>
  <c r="Q394" i="85"/>
  <c r="R394" i="85"/>
  <c r="T452" i="85"/>
  <c r="T436" i="85"/>
  <c r="T420" i="85"/>
  <c r="Q404" i="85"/>
  <c r="R404" i="85"/>
  <c r="T374" i="85"/>
  <c r="T464" i="85"/>
  <c r="Q458" i="85"/>
  <c r="R458" i="85"/>
  <c r="AJ3" i="85"/>
  <c r="AL3" i="85"/>
  <c r="AJ11" i="85"/>
  <c r="AL11" i="85"/>
  <c r="AJ19" i="85"/>
  <c r="AL19" i="85"/>
  <c r="AJ9" i="85"/>
  <c r="AL9" i="85"/>
  <c r="AJ17" i="85"/>
  <c r="AL17" i="85"/>
  <c r="AJ7" i="85"/>
  <c r="AL7" i="85"/>
  <c r="AJ15" i="85"/>
  <c r="AL15" i="85"/>
  <c r="AJ23" i="85"/>
  <c r="AL23" i="85"/>
  <c r="AJ5" i="85"/>
  <c r="AL5" i="85"/>
  <c r="AJ13" i="85"/>
  <c r="AL13" i="85"/>
  <c r="AJ21" i="85"/>
  <c r="AL21" i="85"/>
  <c r="AL4" i="85"/>
  <c r="AM4" i="85"/>
  <c r="AN4" i="85"/>
  <c r="AL6" i="85"/>
  <c r="AM6" i="85"/>
  <c r="AN6" i="85"/>
  <c r="AL8" i="85"/>
  <c r="AM8" i="85"/>
  <c r="AN8" i="85"/>
  <c r="AL10" i="85"/>
  <c r="AM10" i="85"/>
  <c r="AN10" i="85"/>
  <c r="AL12" i="85"/>
  <c r="AM12" i="85"/>
  <c r="AN12" i="85"/>
  <c r="AL14" i="85"/>
  <c r="AM14" i="85"/>
  <c r="AN14" i="85"/>
  <c r="AL16" i="85"/>
  <c r="AM16" i="85"/>
  <c r="AN16" i="85"/>
  <c r="AL18" i="85"/>
  <c r="AM18" i="85"/>
  <c r="AN18" i="85"/>
  <c r="AL20" i="85"/>
  <c r="AM20" i="85"/>
  <c r="AN20" i="85"/>
  <c r="AL22" i="85"/>
  <c r="AM22" i="85"/>
  <c r="AN22" i="85"/>
  <c r="T93" i="85"/>
  <c r="Y333" i="85"/>
  <c r="Z333" i="85"/>
  <c r="Y331" i="85"/>
  <c r="Z331" i="85"/>
  <c r="J339" i="85"/>
  <c r="J337" i="85"/>
  <c r="J343" i="85"/>
  <c r="J341" i="85"/>
  <c r="Y339" i="85"/>
  <c r="Z339" i="85"/>
  <c r="J340" i="85"/>
  <c r="J338" i="85"/>
  <c r="Y319" i="85"/>
  <c r="Z319" i="85"/>
  <c r="Y313" i="85"/>
  <c r="Z313" i="85"/>
  <c r="Y307" i="85"/>
  <c r="Z307" i="85"/>
  <c r="Y310" i="85"/>
  <c r="Z310" i="85"/>
  <c r="J275" i="85"/>
  <c r="J279" i="85"/>
  <c r="Y279" i="85"/>
  <c r="Z279" i="85"/>
  <c r="Y316" i="85"/>
  <c r="Z316" i="85"/>
  <c r="Y299" i="85"/>
  <c r="Z299" i="85"/>
  <c r="Y293" i="85"/>
  <c r="Z293" i="85"/>
  <c r="Y282" i="85"/>
  <c r="Z282" i="85"/>
  <c r="Y290" i="85"/>
  <c r="Z290" i="85"/>
  <c r="J250" i="85"/>
  <c r="Y271" i="85"/>
  <c r="Z271" i="85"/>
  <c r="Y269" i="85"/>
  <c r="Z269" i="85"/>
  <c r="Y261" i="85"/>
  <c r="Z261" i="85"/>
  <c r="Y257" i="85"/>
  <c r="Z257" i="85"/>
  <c r="J259" i="85"/>
  <c r="Y265" i="85"/>
  <c r="Z265" i="85"/>
  <c r="Y270" i="85"/>
  <c r="Z270" i="85"/>
  <c r="Y255" i="85"/>
  <c r="Z255" i="85"/>
  <c r="Y252" i="85"/>
  <c r="Z252" i="85"/>
  <c r="Y250" i="85"/>
  <c r="Z250" i="85"/>
  <c r="J260" i="85"/>
  <c r="J249" i="85"/>
  <c r="Y256" i="85"/>
  <c r="Z256" i="85"/>
  <c r="J335" i="85"/>
  <c r="J336" i="85"/>
  <c r="Y315" i="85"/>
  <c r="Z315" i="85"/>
  <c r="Y283" i="85"/>
  <c r="Z283" i="85"/>
  <c r="Y259" i="85"/>
  <c r="Z259" i="85"/>
  <c r="Y326" i="85"/>
  <c r="Z326" i="85"/>
  <c r="Y294" i="85"/>
  <c r="Z294" i="85"/>
  <c r="Y262" i="85"/>
  <c r="Z262" i="85"/>
  <c r="J271" i="85"/>
  <c r="Y275" i="85"/>
  <c r="Z275" i="85"/>
  <c r="Y287" i="85"/>
  <c r="Z287" i="85"/>
  <c r="Y328" i="85"/>
  <c r="Z328" i="85"/>
  <c r="Y312" i="85"/>
  <c r="Z312" i="85"/>
  <c r="Y308" i="85"/>
  <c r="Z308" i="85"/>
  <c r="Y292" i="85"/>
  <c r="Z292" i="85"/>
  <c r="Y276" i="85"/>
  <c r="Z276" i="85"/>
  <c r="Y260" i="85"/>
  <c r="Z260" i="85"/>
  <c r="Y273" i="85"/>
  <c r="Z273" i="85"/>
  <c r="J334" i="85"/>
  <c r="Y325" i="85"/>
  <c r="Z325" i="85"/>
  <c r="Y321" i="85"/>
  <c r="Z321" i="85"/>
  <c r="Y320" i="85"/>
  <c r="Z320" i="85"/>
  <c r="Y318" i="85"/>
  <c r="Z318" i="85"/>
  <c r="Y278" i="85"/>
  <c r="Z278" i="85"/>
  <c r="Y302" i="85"/>
  <c r="Z302" i="85"/>
  <c r="Y322" i="85"/>
  <c r="Z322" i="85"/>
  <c r="Y284" i="85"/>
  <c r="Z284" i="85"/>
  <c r="J274" i="85"/>
  <c r="Y280" i="85"/>
  <c r="Z280" i="85"/>
  <c r="Y311" i="85"/>
  <c r="Z311" i="85"/>
  <c r="Y296" i="85"/>
  <c r="Z296" i="85"/>
  <c r="Y300" i="85"/>
  <c r="Z300" i="85"/>
  <c r="Y298" i="85"/>
  <c r="Z298" i="85"/>
  <c r="Y291" i="85"/>
  <c r="Z291" i="85"/>
  <c r="Y289" i="85"/>
  <c r="Z289" i="85"/>
  <c r="Y329" i="85"/>
  <c r="Z329" i="85"/>
  <c r="Y317" i="85"/>
  <c r="Z317" i="85"/>
  <c r="Y301" i="85"/>
  <c r="Z301" i="85"/>
  <c r="Y297" i="85"/>
  <c r="Z297" i="85"/>
  <c r="Y285" i="85"/>
  <c r="Z285" i="85"/>
  <c r="Y277" i="85"/>
  <c r="Z277" i="85"/>
  <c r="Y281" i="85"/>
  <c r="Z281" i="85"/>
  <c r="J266" i="85"/>
  <c r="J255" i="85"/>
  <c r="Y266" i="85"/>
  <c r="Z266" i="85"/>
  <c r="J251" i="85"/>
  <c r="Y267" i="85"/>
  <c r="Z267" i="85"/>
  <c r="Y272" i="85"/>
  <c r="Z272" i="85"/>
  <c r="Y295" i="85"/>
  <c r="Z295" i="85"/>
  <c r="Y314" i="85"/>
  <c r="Z314" i="85"/>
  <c r="J304" i="85"/>
  <c r="J285" i="85"/>
  <c r="Y288" i="85"/>
  <c r="Z288" i="85"/>
  <c r="Y332" i="85"/>
  <c r="Z332" i="85"/>
  <c r="Y305" i="85"/>
  <c r="Z305" i="85"/>
  <c r="Y286" i="85"/>
  <c r="Z286" i="85"/>
  <c r="Y323" i="85"/>
  <c r="Z323" i="85"/>
  <c r="Y309" i="85"/>
  <c r="Z309" i="85"/>
  <c r="Y232" i="85"/>
  <c r="Z232" i="85"/>
  <c r="Y231" i="85"/>
  <c r="Z231" i="85"/>
  <c r="Y228" i="85"/>
  <c r="Z228" i="85"/>
  <c r="Y221" i="85"/>
  <c r="Z221" i="85"/>
  <c r="Y215" i="85"/>
  <c r="Z215" i="85"/>
  <c r="J226" i="85"/>
  <c r="J229" i="85"/>
  <c r="J232" i="85"/>
  <c r="J228" i="85"/>
  <c r="J216" i="85"/>
  <c r="Y216" i="85"/>
  <c r="Z216" i="85"/>
  <c r="Y219" i="85"/>
  <c r="Z219" i="85"/>
  <c r="Y220" i="85"/>
  <c r="Z220" i="85"/>
  <c r="J230" i="85"/>
  <c r="J222" i="85"/>
  <c r="Y223" i="85"/>
  <c r="Z223" i="85"/>
  <c r="Y227" i="85"/>
  <c r="Z227" i="85"/>
  <c r="J227" i="85"/>
  <c r="J220" i="85"/>
  <c r="J317" i="85"/>
  <c r="J257" i="85"/>
  <c r="J307" i="85"/>
  <c r="J261" i="85"/>
  <c r="J316" i="85"/>
  <c r="J305" i="85"/>
  <c r="J258" i="85"/>
  <c r="J311" i="85"/>
  <c r="J306" i="85"/>
  <c r="J303" i="85"/>
  <c r="J256" i="85"/>
  <c r="J272" i="85"/>
  <c r="J267" i="85"/>
  <c r="J252" i="85"/>
  <c r="J246" i="85"/>
  <c r="J268" i="85"/>
  <c r="J248" i="85"/>
  <c r="J236" i="85"/>
  <c r="J243" i="85"/>
  <c r="J264" i="85"/>
  <c r="J284" i="85"/>
  <c r="J239" i="85"/>
  <c r="J273" i="85"/>
  <c r="J262" i="85"/>
  <c r="J196" i="85"/>
  <c r="J197" i="85"/>
  <c r="Y197" i="85"/>
  <c r="Z197" i="85"/>
  <c r="J194" i="85"/>
  <c r="J193" i="85"/>
  <c r="J140" i="85"/>
  <c r="J142" i="85"/>
  <c r="J144" i="85"/>
  <c r="J138" i="85"/>
  <c r="J141" i="85"/>
  <c r="J143" i="85"/>
  <c r="J139" i="85"/>
  <c r="Y140" i="85"/>
  <c r="Z140" i="85"/>
  <c r="Y144" i="85"/>
  <c r="Z144" i="85"/>
  <c r="J137" i="85"/>
  <c r="Y119" i="85"/>
  <c r="Z119" i="85"/>
  <c r="J103" i="85"/>
  <c r="J107" i="85"/>
  <c r="J111" i="85"/>
  <c r="J119" i="85"/>
  <c r="Y118" i="85"/>
  <c r="Z118" i="85"/>
  <c r="J115" i="85"/>
  <c r="Y106" i="85"/>
  <c r="Z106" i="85"/>
  <c r="J113" i="85"/>
  <c r="Y103" i="85"/>
  <c r="Z103" i="85"/>
  <c r="Y110" i="85"/>
  <c r="Z110" i="85"/>
  <c r="J109" i="85"/>
  <c r="J102" i="85"/>
  <c r="J104" i="85"/>
  <c r="J106" i="85"/>
  <c r="J108" i="85"/>
  <c r="J110" i="85"/>
  <c r="J112" i="85"/>
  <c r="J114" i="85"/>
  <c r="J116" i="85"/>
  <c r="J118" i="85"/>
  <c r="J120" i="85"/>
  <c r="Y115" i="85"/>
  <c r="Z115" i="85"/>
  <c r="J121" i="85"/>
  <c r="J105" i="85"/>
  <c r="J99" i="85"/>
  <c r="J96" i="85"/>
  <c r="J98" i="85"/>
  <c r="Q94" i="85"/>
  <c r="R94" i="85"/>
  <c r="T94" i="85"/>
  <c r="J97" i="85"/>
  <c r="Q464" i="85"/>
  <c r="R464" i="85"/>
  <c r="Q345" i="85"/>
  <c r="R345" i="85"/>
  <c r="T398" i="85"/>
  <c r="Q93" i="85"/>
  <c r="R93" i="85"/>
  <c r="Q225" i="85"/>
  <c r="R225" i="85"/>
  <c r="T378" i="85"/>
  <c r="Q437" i="85"/>
  <c r="R437" i="85"/>
  <c r="T454" i="85"/>
  <c r="T434" i="85"/>
  <c r="Q446" i="85"/>
  <c r="R446" i="85"/>
  <c r="Q436" i="85"/>
  <c r="R436" i="85"/>
  <c r="T430" i="85"/>
  <c r="Q425" i="85"/>
  <c r="R425" i="85"/>
  <c r="T425" i="85"/>
  <c r="Q422" i="85"/>
  <c r="R422" i="85"/>
  <c r="Q426" i="85"/>
  <c r="R426" i="85"/>
  <c r="T404" i="85"/>
  <c r="T386" i="85"/>
  <c r="Q386" i="85"/>
  <c r="R386" i="85"/>
  <c r="T428" i="85"/>
  <c r="Q428" i="85"/>
  <c r="R428" i="85"/>
  <c r="Q460" i="85"/>
  <c r="R460" i="85"/>
  <c r="T460" i="85"/>
  <c r="T358" i="85"/>
  <c r="T458" i="85"/>
  <c r="T418" i="85"/>
  <c r="Q374" i="85"/>
  <c r="R374" i="85"/>
  <c r="T394" i="85"/>
  <c r="Q457" i="85"/>
  <c r="R457" i="85"/>
  <c r="Q346" i="85"/>
  <c r="R346" i="85"/>
  <c r="T414" i="85"/>
  <c r="Q452" i="85"/>
  <c r="R452" i="85"/>
  <c r="Q420" i="85"/>
  <c r="R420" i="85"/>
  <c r="Q361" i="85"/>
  <c r="R361" i="85"/>
  <c r="Q205" i="85"/>
  <c r="R205" i="85"/>
  <c r="T205" i="85"/>
  <c r="T302" i="85"/>
  <c r="Q68" i="85"/>
  <c r="R68" i="85"/>
  <c r="AM11" i="85"/>
  <c r="AN11" i="85"/>
  <c r="T190" i="85"/>
  <c r="Q266" i="85"/>
  <c r="R266" i="85"/>
  <c r="Q209" i="85"/>
  <c r="R209" i="85"/>
  <c r="T53" i="85"/>
  <c r="T47" i="85"/>
  <c r="Q184" i="85"/>
  <c r="R184" i="85"/>
  <c r="T176" i="85"/>
  <c r="T168" i="85"/>
  <c r="Q92" i="85"/>
  <c r="R92" i="85"/>
  <c r="T92" i="85"/>
  <c r="Q189" i="85"/>
  <c r="R189" i="85"/>
  <c r="T189" i="85"/>
  <c r="Q36" i="85"/>
  <c r="R36" i="85"/>
  <c r="T44" i="85"/>
  <c r="T40" i="85"/>
  <c r="Q144" i="85"/>
  <c r="R144" i="85"/>
  <c r="T307" i="85"/>
  <c r="Q259" i="85"/>
  <c r="R259" i="85"/>
  <c r="Q60" i="85"/>
  <c r="R60" i="85"/>
  <c r="T29" i="85"/>
  <c r="Q87" i="85"/>
  <c r="R87" i="85"/>
  <c r="T87" i="85"/>
  <c r="T117" i="85"/>
  <c r="Q109" i="85"/>
  <c r="R109" i="85"/>
  <c r="T110" i="85"/>
  <c r="T140" i="85"/>
  <c r="Q217" i="85"/>
  <c r="R217" i="85"/>
  <c r="Q208" i="85"/>
  <c r="R208" i="85"/>
  <c r="T54" i="85"/>
  <c r="T35" i="85"/>
  <c r="T64" i="85"/>
  <c r="Q64" i="85"/>
  <c r="R64" i="85"/>
  <c r="T30" i="85"/>
  <c r="Q30" i="85"/>
  <c r="R30" i="85"/>
  <c r="T39" i="85"/>
  <c r="Q39" i="85"/>
  <c r="R39" i="85"/>
  <c r="Q32" i="85"/>
  <c r="R32" i="85"/>
  <c r="T32" i="85"/>
  <c r="Q54" i="85"/>
  <c r="R54" i="85"/>
  <c r="Q200" i="85"/>
  <c r="R200" i="85"/>
  <c r="T200" i="85"/>
  <c r="T27" i="85"/>
  <c r="Q27" i="85"/>
  <c r="R27" i="85"/>
  <c r="T98" i="85"/>
  <c r="Q98" i="85"/>
  <c r="R98" i="85"/>
  <c r="T181" i="85"/>
  <c r="Q181" i="85"/>
  <c r="R181" i="85"/>
  <c r="T173" i="85"/>
  <c r="Q173" i="85"/>
  <c r="R173" i="85"/>
  <c r="Q165" i="85"/>
  <c r="R165" i="85"/>
  <c r="T165" i="85"/>
  <c r="T157" i="85"/>
  <c r="Q157" i="85"/>
  <c r="R157" i="85"/>
  <c r="T149" i="85"/>
  <c r="Q149" i="85"/>
  <c r="R149" i="85"/>
  <c r="Q38" i="85"/>
  <c r="R38" i="85"/>
  <c r="T38" i="85"/>
  <c r="T43" i="85"/>
  <c r="Q43" i="85"/>
  <c r="R43" i="85"/>
  <c r="T177" i="85"/>
  <c r="Q177" i="85"/>
  <c r="R177" i="85"/>
  <c r="T169" i="85"/>
  <c r="Q169" i="85"/>
  <c r="R169" i="85"/>
  <c r="Q161" i="85"/>
  <c r="R161" i="85"/>
  <c r="T161" i="85"/>
  <c r="Q153" i="85"/>
  <c r="R153" i="85"/>
  <c r="T153" i="85"/>
  <c r="T42" i="85"/>
  <c r="Q42" i="85"/>
  <c r="R42" i="85"/>
  <c r="Q33" i="85"/>
  <c r="R33" i="85"/>
  <c r="T33" i="85"/>
  <c r="T48" i="85"/>
  <c r="Q48" i="85"/>
  <c r="R48" i="85"/>
  <c r="Q160" i="85"/>
  <c r="R160" i="85"/>
  <c r="Q152" i="85"/>
  <c r="R152" i="85"/>
  <c r="T136" i="85"/>
  <c r="Q135" i="85"/>
  <c r="R135" i="85"/>
  <c r="Q131" i="85"/>
  <c r="R131" i="85"/>
  <c r="T127" i="85"/>
  <c r="Q202" i="85"/>
  <c r="R202" i="85"/>
  <c r="AM13" i="85"/>
  <c r="AN13" i="85"/>
  <c r="Q13" i="85"/>
  <c r="R13" i="85"/>
  <c r="AM15" i="85"/>
  <c r="AN15" i="85"/>
  <c r="Q15" i="85"/>
  <c r="R15" i="85"/>
  <c r="T69" i="85"/>
  <c r="Q49" i="85"/>
  <c r="R49" i="85"/>
  <c r="T49" i="85"/>
  <c r="Q244" i="85"/>
  <c r="R244" i="85"/>
  <c r="Q183" i="85"/>
  <c r="R183" i="85"/>
  <c r="T183" i="85"/>
  <c r="Q175" i="85"/>
  <c r="R175" i="85"/>
  <c r="T175" i="85"/>
  <c r="Q167" i="85"/>
  <c r="R167" i="85"/>
  <c r="T167" i="85"/>
  <c r="T159" i="85"/>
  <c r="Q159" i="85"/>
  <c r="R159" i="85"/>
  <c r="T151" i="85"/>
  <c r="Q151" i="85"/>
  <c r="R151" i="85"/>
  <c r="T46" i="85"/>
  <c r="Q46" i="85"/>
  <c r="R46" i="85"/>
  <c r="Q31" i="85"/>
  <c r="R31" i="85"/>
  <c r="T31" i="85"/>
  <c r="Q53" i="85"/>
  <c r="R53" i="85"/>
  <c r="T63" i="85"/>
  <c r="Q63" i="85"/>
  <c r="R63" i="85"/>
  <c r="Q190" i="85"/>
  <c r="R190" i="85"/>
  <c r="Q52" i="85"/>
  <c r="R52" i="85"/>
  <c r="T52" i="85"/>
  <c r="T166" i="85"/>
  <c r="Q162" i="85"/>
  <c r="R162" i="85"/>
  <c r="Q158" i="85"/>
  <c r="R158" i="85"/>
  <c r="Q154" i="85"/>
  <c r="R154" i="85"/>
  <c r="T150" i="85"/>
  <c r="Q91" i="85"/>
  <c r="R91" i="85"/>
  <c r="T199" i="85"/>
  <c r="Q191" i="85"/>
  <c r="R191" i="85"/>
  <c r="Q461" i="85"/>
  <c r="R461" i="85"/>
  <c r="T83" i="85"/>
  <c r="Q83" i="85"/>
  <c r="R83" i="85"/>
  <c r="Q26" i="85"/>
  <c r="R26" i="85"/>
  <c r="T26" i="85"/>
  <c r="T101" i="85"/>
  <c r="T118" i="85"/>
  <c r="T254" i="85"/>
  <c r="T215" i="85"/>
  <c r="Q334" i="85"/>
  <c r="R334" i="85"/>
  <c r="T75" i="85"/>
  <c r="Q75" i="85"/>
  <c r="R75" i="85"/>
  <c r="T179" i="85"/>
  <c r="Q179" i="85"/>
  <c r="R179" i="85"/>
  <c r="T171" i="85"/>
  <c r="Q171" i="85"/>
  <c r="R171" i="85"/>
  <c r="T163" i="85"/>
  <c r="Q163" i="85"/>
  <c r="R163" i="85"/>
  <c r="T155" i="85"/>
  <c r="Q155" i="85"/>
  <c r="R155" i="85"/>
  <c r="T147" i="85"/>
  <c r="Q147" i="85"/>
  <c r="R147" i="85"/>
  <c r="Q29" i="85"/>
  <c r="R29" i="85"/>
  <c r="Q201" i="85"/>
  <c r="R201" i="85"/>
  <c r="T201" i="85"/>
  <c r="T192" i="85"/>
  <c r="Q192" i="85"/>
  <c r="R192" i="85"/>
  <c r="S8" i="85"/>
  <c r="T8" i="85"/>
  <c r="Q8" i="85"/>
  <c r="R8" i="85"/>
  <c r="Q22" i="85"/>
  <c r="R22" i="85"/>
  <c r="S22" i="85"/>
  <c r="T22" i="85"/>
  <c r="S14" i="85"/>
  <c r="T14" i="85"/>
  <c r="Q14" i="85"/>
  <c r="R14" i="85"/>
  <c r="Q6" i="85"/>
  <c r="R6" i="85"/>
  <c r="S6" i="85"/>
  <c r="T6" i="85"/>
  <c r="T57" i="85"/>
  <c r="Q57" i="85"/>
  <c r="R57" i="85"/>
  <c r="Q203" i="85"/>
  <c r="R203" i="85"/>
  <c r="T203" i="85"/>
  <c r="Q20" i="85"/>
  <c r="R20" i="85"/>
  <c r="S20" i="85"/>
  <c r="T20" i="85"/>
  <c r="S12" i="85"/>
  <c r="T12" i="85"/>
  <c r="Q12" i="85"/>
  <c r="R12" i="85"/>
  <c r="S4" i="85"/>
  <c r="T4" i="85"/>
  <c r="Q4" i="85"/>
  <c r="R4" i="85"/>
  <c r="T66" i="85"/>
  <c r="Q66" i="85"/>
  <c r="R66" i="85"/>
  <c r="Q136" i="85"/>
  <c r="R136" i="85"/>
  <c r="T65" i="85"/>
  <c r="Q65" i="85"/>
  <c r="R65" i="85"/>
  <c r="Q18" i="85"/>
  <c r="R18" i="85"/>
  <c r="S18" i="85"/>
  <c r="T18" i="85"/>
  <c r="Q10" i="85"/>
  <c r="R10" i="85"/>
  <c r="S10" i="85"/>
  <c r="T10" i="85"/>
  <c r="T61" i="85"/>
  <c r="Q61" i="85"/>
  <c r="R61" i="85"/>
  <c r="Q112" i="85"/>
  <c r="R112" i="85"/>
  <c r="Q108" i="85"/>
  <c r="R108" i="85"/>
  <c r="Q282" i="85"/>
  <c r="R282" i="85"/>
  <c r="T230" i="85"/>
  <c r="Q182" i="85"/>
  <c r="R182" i="85"/>
  <c r="T182" i="85"/>
  <c r="T178" i="85"/>
  <c r="Q178" i="85"/>
  <c r="R178" i="85"/>
  <c r="T174" i="85"/>
  <c r="Q174" i="85"/>
  <c r="R174" i="85"/>
  <c r="T170" i="85"/>
  <c r="Q170" i="85"/>
  <c r="R170" i="85"/>
  <c r="T207" i="85"/>
  <c r="Q207" i="85"/>
  <c r="R207" i="85"/>
  <c r="Q214" i="85"/>
  <c r="R214" i="85"/>
  <c r="T214" i="85"/>
  <c r="Q88" i="85"/>
  <c r="R88" i="85"/>
  <c r="T88" i="85"/>
  <c r="T72" i="85"/>
  <c r="Q72" i="85"/>
  <c r="R72" i="85"/>
  <c r="T89" i="85"/>
  <c r="Q89" i="85"/>
  <c r="R89" i="85"/>
  <c r="T73" i="85"/>
  <c r="Q73" i="85"/>
  <c r="R73" i="85"/>
  <c r="Q90" i="85"/>
  <c r="R90" i="85"/>
  <c r="T90" i="85"/>
  <c r="T74" i="85"/>
  <c r="Q74" i="85"/>
  <c r="R74" i="85"/>
  <c r="T70" i="85"/>
  <c r="Q70" i="85"/>
  <c r="R70" i="85"/>
  <c r="T56" i="85"/>
  <c r="Q56" i="85"/>
  <c r="R56" i="85"/>
  <c r="S15" i="85"/>
  <c r="T15" i="85"/>
  <c r="T59" i="85"/>
  <c r="Q59" i="85"/>
  <c r="R59" i="85"/>
  <c r="AM17" i="85"/>
  <c r="AN17" i="85"/>
  <c r="Q105" i="85"/>
  <c r="R105" i="85"/>
  <c r="T114" i="85"/>
  <c r="T142" i="85"/>
  <c r="T253" i="85"/>
  <c r="Q235" i="85"/>
  <c r="R235" i="85"/>
  <c r="T229" i="85"/>
  <c r="T84" i="85"/>
  <c r="Q84" i="85"/>
  <c r="R84" i="85"/>
  <c r="T85" i="85"/>
  <c r="Q85" i="85"/>
  <c r="R85" i="85"/>
  <c r="Q86" i="85"/>
  <c r="R86" i="85"/>
  <c r="T86" i="85"/>
  <c r="AM5" i="85"/>
  <c r="AN5" i="85"/>
  <c r="AM23" i="85"/>
  <c r="AN23" i="85"/>
  <c r="AM3" i="85"/>
  <c r="AN3" i="85"/>
  <c r="T197" i="85"/>
  <c r="Q251" i="85"/>
  <c r="R251" i="85"/>
  <c r="T180" i="85"/>
  <c r="Q180" i="85"/>
  <c r="R180" i="85"/>
  <c r="Q176" i="85"/>
  <c r="R176" i="85"/>
  <c r="T172" i="85"/>
  <c r="Q172" i="85"/>
  <c r="R172" i="85"/>
  <c r="Q168" i="85"/>
  <c r="R168" i="85"/>
  <c r="T164" i="85"/>
  <c r="Q164" i="85"/>
  <c r="R164" i="85"/>
  <c r="Q156" i="85"/>
  <c r="R156" i="85"/>
  <c r="T156" i="85"/>
  <c r="T152" i="85"/>
  <c r="Q148" i="85"/>
  <c r="R148" i="85"/>
  <c r="T148" i="85"/>
  <c r="T209" i="85"/>
  <c r="T213" i="85"/>
  <c r="Q213" i="85"/>
  <c r="R213" i="85"/>
  <c r="Q198" i="85"/>
  <c r="R198" i="85"/>
  <c r="T198" i="85"/>
  <c r="Q80" i="85"/>
  <c r="R80" i="85"/>
  <c r="T80" i="85"/>
  <c r="Q199" i="85"/>
  <c r="R199" i="85"/>
  <c r="T81" i="85"/>
  <c r="Q81" i="85"/>
  <c r="R81" i="85"/>
  <c r="T95" i="85"/>
  <c r="Q95" i="85"/>
  <c r="R95" i="85"/>
  <c r="Q82" i="85"/>
  <c r="R82" i="85"/>
  <c r="T82" i="85"/>
  <c r="Q186" i="85"/>
  <c r="R186" i="85"/>
  <c r="T186" i="85"/>
  <c r="Q16" i="85"/>
  <c r="R16" i="85"/>
  <c r="S16" i="85"/>
  <c r="T16" i="85"/>
  <c r="T58" i="85"/>
  <c r="Q58" i="85"/>
  <c r="R58" i="85"/>
  <c r="T55" i="85"/>
  <c r="Q55" i="85"/>
  <c r="R55" i="85"/>
  <c r="T60" i="85"/>
  <c r="Q11" i="85"/>
  <c r="R11" i="85"/>
  <c r="S11" i="85"/>
  <c r="T11" i="85"/>
  <c r="T391" i="85"/>
  <c r="Q204" i="85"/>
  <c r="R204" i="85"/>
  <c r="T204" i="85"/>
  <c r="T185" i="85"/>
  <c r="Q185" i="85"/>
  <c r="R185" i="85"/>
  <c r="T135" i="85"/>
  <c r="Q133" i="85"/>
  <c r="R133" i="85"/>
  <c r="T133" i="85"/>
  <c r="Q129" i="85"/>
  <c r="R129" i="85"/>
  <c r="T129" i="85"/>
  <c r="Q212" i="85"/>
  <c r="R212" i="85"/>
  <c r="T212" i="85"/>
  <c r="T76" i="85"/>
  <c r="Q76" i="85"/>
  <c r="R76" i="85"/>
  <c r="T67" i="85"/>
  <c r="Q67" i="85"/>
  <c r="R67" i="85"/>
  <c r="T77" i="85"/>
  <c r="Q77" i="85"/>
  <c r="R77" i="85"/>
  <c r="Q78" i="85"/>
  <c r="R78" i="85"/>
  <c r="T78" i="85"/>
  <c r="AM21" i="85"/>
  <c r="AN21" i="85"/>
  <c r="T24" i="85"/>
  <c r="Q24" i="85"/>
  <c r="R24" i="85"/>
  <c r="AM7" i="85"/>
  <c r="AN7" i="85"/>
  <c r="AM9" i="85"/>
  <c r="AN9" i="85"/>
  <c r="AM19" i="85"/>
  <c r="AN19" i="85"/>
  <c r="Q342" i="85"/>
  <c r="R342" i="85"/>
  <c r="T342" i="85"/>
  <c r="Q335" i="85"/>
  <c r="R335" i="85"/>
  <c r="T290" i="85"/>
  <c r="T286" i="85"/>
  <c r="Q276" i="85"/>
  <c r="R276" i="85"/>
  <c r="T268" i="85"/>
  <c r="Q264" i="85"/>
  <c r="R264" i="85"/>
  <c r="T260" i="85"/>
  <c r="Q252" i="85"/>
  <c r="R252" i="85"/>
  <c r="Q257" i="85"/>
  <c r="R257" i="85"/>
  <c r="Q250" i="85"/>
  <c r="R250" i="85"/>
  <c r="Q262" i="85"/>
  <c r="R262" i="85"/>
  <c r="T228" i="85"/>
  <c r="Q216" i="85"/>
  <c r="R216" i="85"/>
  <c r="T236" i="85"/>
  <c r="T330" i="85"/>
  <c r="Q330" i="85"/>
  <c r="R330" i="85"/>
  <c r="Q222" i="85"/>
  <c r="R222" i="85"/>
  <c r="T222" i="85"/>
  <c r="T225" i="85"/>
  <c r="T220" i="85"/>
  <c r="Q220" i="85"/>
  <c r="R220" i="85"/>
  <c r="Q227" i="85"/>
  <c r="R227" i="85"/>
  <c r="T227" i="85"/>
  <c r="Q229" i="85"/>
  <c r="R229" i="85"/>
  <c r="Q218" i="85"/>
  <c r="R218" i="85"/>
  <c r="T218" i="85"/>
  <c r="Q224" i="85"/>
  <c r="R224" i="85"/>
  <c r="T224" i="85"/>
  <c r="Q221" i="85"/>
  <c r="R221" i="85"/>
  <c r="T221" i="85"/>
  <c r="Q232" i="85"/>
  <c r="R232" i="85"/>
  <c r="T232" i="85"/>
  <c r="T226" i="85"/>
  <c r="Q226" i="85"/>
  <c r="R226" i="85"/>
  <c r="T297" i="85"/>
  <c r="Q297" i="85"/>
  <c r="R297" i="85"/>
  <c r="Q285" i="85"/>
  <c r="R285" i="85"/>
  <c r="T285" i="85"/>
  <c r="T299" i="85"/>
  <c r="Q299" i="85"/>
  <c r="R299" i="85"/>
  <c r="T238" i="85"/>
  <c r="Q238" i="85"/>
  <c r="R238" i="85"/>
  <c r="Q240" i="85"/>
  <c r="R240" i="85"/>
  <c r="T240" i="85"/>
  <c r="T308" i="85"/>
  <c r="Q308" i="85"/>
  <c r="R308" i="85"/>
  <c r="Q278" i="85"/>
  <c r="R278" i="85"/>
  <c r="T243" i="85"/>
  <c r="Q243" i="85"/>
  <c r="R243" i="85"/>
  <c r="T311" i="85"/>
  <c r="Q311" i="85"/>
  <c r="R311" i="85"/>
  <c r="Q307" i="85"/>
  <c r="R307" i="85"/>
  <c r="Q283" i="85"/>
  <c r="R283" i="85"/>
  <c r="T241" i="85"/>
  <c r="Q241" i="85"/>
  <c r="R241" i="85"/>
  <c r="T249" i="85"/>
  <c r="Q249" i="85"/>
  <c r="R249" i="85"/>
  <c r="Q261" i="85"/>
  <c r="R261" i="85"/>
  <c r="T261" i="85"/>
  <c r="T242" i="85"/>
  <c r="Q242" i="85"/>
  <c r="R242" i="85"/>
  <c r="Q234" i="85"/>
  <c r="R234" i="85"/>
  <c r="T234" i="85"/>
  <c r="T237" i="85"/>
  <c r="Q237" i="85"/>
  <c r="R237" i="85"/>
  <c r="T245" i="85"/>
  <c r="Q245" i="85"/>
  <c r="R245" i="85"/>
  <c r="Q298" i="85"/>
  <c r="R298" i="85"/>
  <c r="T298" i="85"/>
  <c r="Q277" i="85"/>
  <c r="R277" i="85"/>
  <c r="Q301" i="85"/>
  <c r="R301" i="85"/>
  <c r="T301" i="85"/>
  <c r="T312" i="85"/>
  <c r="Q312" i="85"/>
  <c r="R312" i="85"/>
  <c r="Q284" i="85"/>
  <c r="R284" i="85"/>
  <c r="T269" i="85"/>
  <c r="Q269" i="85"/>
  <c r="R269" i="85"/>
  <c r="Q247" i="85"/>
  <c r="R247" i="85"/>
  <c r="T247" i="85"/>
  <c r="T235" i="85"/>
  <c r="Q194" i="85"/>
  <c r="R194" i="85"/>
  <c r="T194" i="85"/>
  <c r="Q195" i="85"/>
  <c r="R195" i="85"/>
  <c r="T195" i="85"/>
  <c r="Q196" i="85"/>
  <c r="R196" i="85"/>
  <c r="T196" i="85"/>
  <c r="Q197" i="85"/>
  <c r="R197" i="85"/>
  <c r="Q143" i="85"/>
  <c r="R143" i="85"/>
  <c r="T143" i="85"/>
  <c r="T139" i="85"/>
  <c r="Q139" i="85"/>
  <c r="R139" i="85"/>
  <c r="T141" i="85"/>
  <c r="Q141" i="85"/>
  <c r="R141" i="85"/>
  <c r="T145" i="85"/>
  <c r="Q145" i="85"/>
  <c r="R145" i="85"/>
  <c r="T138" i="85"/>
  <c r="Q138" i="85"/>
  <c r="R138" i="85"/>
  <c r="Q103" i="85"/>
  <c r="R103" i="85"/>
  <c r="T103" i="85"/>
  <c r="Q102" i="85"/>
  <c r="R102" i="85"/>
  <c r="T102" i="85"/>
  <c r="T109" i="85"/>
  <c r="Q110" i="85"/>
  <c r="R110" i="85"/>
  <c r="Q121" i="85"/>
  <c r="R121" i="85"/>
  <c r="T121" i="85"/>
  <c r="T120" i="85"/>
  <c r="Q120" i="85"/>
  <c r="R120" i="85"/>
  <c r="Q119" i="85"/>
  <c r="R119" i="85"/>
  <c r="T119" i="85"/>
  <c r="T116" i="85"/>
  <c r="Q116" i="85"/>
  <c r="R116" i="85"/>
  <c r="Q115" i="85"/>
  <c r="R115" i="85"/>
  <c r="T115" i="85"/>
  <c r="Q107" i="85"/>
  <c r="R107" i="85"/>
  <c r="T107" i="85"/>
  <c r="T112" i="85"/>
  <c r="T104" i="85"/>
  <c r="Q104" i="85"/>
  <c r="R104" i="85"/>
  <c r="Q106" i="85"/>
  <c r="R106" i="85"/>
  <c r="T106" i="85"/>
  <c r="Q113" i="85"/>
  <c r="R113" i="85"/>
  <c r="T113" i="85"/>
  <c r="T111" i="85"/>
  <c r="Q111" i="85"/>
  <c r="R111" i="85"/>
  <c r="Q99" i="85"/>
  <c r="R99" i="85"/>
  <c r="T99" i="85"/>
  <c r="T96" i="85"/>
  <c r="Q97" i="85"/>
  <c r="R97" i="85"/>
  <c r="Q398" i="85"/>
  <c r="R398" i="85"/>
  <c r="Q463" i="85"/>
  <c r="R463" i="85"/>
  <c r="T463" i="85"/>
  <c r="T462" i="85"/>
  <c r="Q462" i="85"/>
  <c r="R462" i="85"/>
  <c r="T466" i="85"/>
  <c r="Q466" i="85"/>
  <c r="R466" i="85"/>
  <c r="T465" i="85"/>
  <c r="Q465" i="85"/>
  <c r="R465" i="85"/>
  <c r="T461" i="85"/>
  <c r="Q215" i="85"/>
  <c r="R215" i="85"/>
  <c r="Q150" i="85"/>
  <c r="R150" i="85"/>
  <c r="T36" i="85"/>
  <c r="Q35" i="85"/>
  <c r="R35" i="85"/>
  <c r="T345" i="85"/>
  <c r="Q142" i="85"/>
  <c r="R142" i="85"/>
  <c r="T251" i="85"/>
  <c r="T131" i="85"/>
  <c r="T160" i="85"/>
  <c r="T202" i="85"/>
  <c r="T208" i="85"/>
  <c r="Q101" i="85"/>
  <c r="R101" i="85"/>
  <c r="T154" i="85"/>
  <c r="T437" i="85"/>
  <c r="Q378" i="85"/>
  <c r="R378" i="85"/>
  <c r="Q391" i="85"/>
  <c r="R391" i="85"/>
  <c r="T416" i="85"/>
  <c r="Q416" i="85"/>
  <c r="R416" i="85"/>
  <c r="Q411" i="85"/>
  <c r="R411" i="85"/>
  <c r="T411" i="85"/>
  <c r="T447" i="85"/>
  <c r="Q447" i="85"/>
  <c r="R447" i="85"/>
  <c r="Q363" i="85"/>
  <c r="R363" i="85"/>
  <c r="T363" i="85"/>
  <c r="Q359" i="85"/>
  <c r="R359" i="85"/>
  <c r="T359" i="85"/>
  <c r="Q376" i="85"/>
  <c r="R376" i="85"/>
  <c r="T376" i="85"/>
  <c r="Q387" i="85"/>
  <c r="R387" i="85"/>
  <c r="T387" i="85"/>
  <c r="T383" i="85"/>
  <c r="Q383" i="85"/>
  <c r="R383" i="85"/>
  <c r="T401" i="85"/>
  <c r="Q401" i="85"/>
  <c r="R401" i="85"/>
  <c r="Q427" i="85"/>
  <c r="R427" i="85"/>
  <c r="T427" i="85"/>
  <c r="T360" i="85"/>
  <c r="Q360" i="85"/>
  <c r="R360" i="85"/>
  <c r="Q357" i="85"/>
  <c r="R357" i="85"/>
  <c r="T357" i="85"/>
  <c r="Q393" i="85"/>
  <c r="R393" i="85"/>
  <c r="T393" i="85"/>
  <c r="T365" i="85"/>
  <c r="Q365" i="85"/>
  <c r="R365" i="85"/>
  <c r="Q439" i="85"/>
  <c r="R439" i="85"/>
  <c r="T439" i="85"/>
  <c r="T415" i="85"/>
  <c r="Q415" i="85"/>
  <c r="R415" i="85"/>
  <c r="T385" i="85"/>
  <c r="Q385" i="85"/>
  <c r="R385" i="85"/>
  <c r="Q396" i="85"/>
  <c r="R396" i="85"/>
  <c r="T396" i="85"/>
  <c r="T380" i="85"/>
  <c r="Q380" i="85"/>
  <c r="R380" i="85"/>
  <c r="Q441" i="85"/>
  <c r="R441" i="85"/>
  <c r="T441" i="85"/>
  <c r="Q442" i="85"/>
  <c r="R442" i="85"/>
  <c r="T442" i="85"/>
  <c r="Q362" i="85"/>
  <c r="R362" i="85"/>
  <c r="T362" i="85"/>
  <c r="T456" i="85"/>
  <c r="Q456" i="85"/>
  <c r="R456" i="85"/>
  <c r="T405" i="85"/>
  <c r="Q405" i="85"/>
  <c r="R405" i="85"/>
  <c r="T370" i="85"/>
  <c r="Q370" i="85"/>
  <c r="R370" i="85"/>
  <c r="T412" i="85"/>
  <c r="Q412" i="85"/>
  <c r="R412" i="85"/>
  <c r="Q356" i="85"/>
  <c r="R356" i="85"/>
  <c r="T356" i="85"/>
  <c r="T379" i="85"/>
  <c r="Q379" i="85"/>
  <c r="R379" i="85"/>
  <c r="Q369" i="85"/>
  <c r="R369" i="85"/>
  <c r="T369" i="85"/>
  <c r="Q459" i="85"/>
  <c r="R459" i="85"/>
  <c r="T459" i="85"/>
  <c r="T417" i="85"/>
  <c r="Q417" i="85"/>
  <c r="R417" i="85"/>
  <c r="T455" i="85"/>
  <c r="Q455" i="85"/>
  <c r="R455" i="85"/>
  <c r="Q368" i="85"/>
  <c r="R368" i="85"/>
  <c r="T368" i="85"/>
  <c r="T384" i="85"/>
  <c r="Q384" i="85"/>
  <c r="R384" i="85"/>
  <c r="T408" i="85"/>
  <c r="Q408" i="85"/>
  <c r="R408" i="85"/>
  <c r="Q448" i="85"/>
  <c r="R448" i="85"/>
  <c r="T448" i="85"/>
  <c r="T347" i="85"/>
  <c r="Q347" i="85"/>
  <c r="R347" i="85"/>
  <c r="T344" i="85"/>
  <c r="Q344" i="85"/>
  <c r="R344" i="85"/>
  <c r="Q451" i="85"/>
  <c r="R451" i="85"/>
  <c r="T451" i="85"/>
  <c r="T371" i="85"/>
  <c r="Q371" i="85"/>
  <c r="R371" i="85"/>
  <c r="Q367" i="85"/>
  <c r="R367" i="85"/>
  <c r="T367" i="85"/>
  <c r="T429" i="85"/>
  <c r="Q429" i="85"/>
  <c r="R429" i="85"/>
  <c r="T381" i="85"/>
  <c r="Q381" i="85"/>
  <c r="R381" i="85"/>
  <c r="T431" i="85"/>
  <c r="Q431" i="85"/>
  <c r="R431" i="85"/>
  <c r="T433" i="85"/>
  <c r="Q433" i="85"/>
  <c r="R433" i="85"/>
  <c r="T373" i="85"/>
  <c r="Q373" i="85"/>
  <c r="R373" i="85"/>
  <c r="T423" i="85"/>
  <c r="Q423" i="85"/>
  <c r="R423" i="85"/>
  <c r="T444" i="85"/>
  <c r="Q444" i="85"/>
  <c r="R444" i="85"/>
  <c r="Q364" i="85"/>
  <c r="R364" i="85"/>
  <c r="T364" i="85"/>
  <c r="Q377" i="85"/>
  <c r="R377" i="85"/>
  <c r="T377" i="85"/>
  <c r="Q450" i="85"/>
  <c r="R450" i="85"/>
  <c r="T450" i="85"/>
  <c r="T382" i="85"/>
  <c r="Q382" i="85"/>
  <c r="R382" i="85"/>
  <c r="T410" i="85"/>
  <c r="Q410" i="85"/>
  <c r="R410" i="85"/>
  <c r="Q438" i="85"/>
  <c r="R438" i="85"/>
  <c r="T438" i="85"/>
  <c r="T440" i="85"/>
  <c r="Q440" i="85"/>
  <c r="R440" i="85"/>
  <c r="T352" i="85"/>
  <c r="Q352" i="85"/>
  <c r="R352" i="85"/>
  <c r="Q406" i="85"/>
  <c r="R406" i="85"/>
  <c r="T406" i="85"/>
  <c r="Q348" i="85"/>
  <c r="R348" i="85"/>
  <c r="T348" i="85"/>
  <c r="Q403" i="85"/>
  <c r="R403" i="85"/>
  <c r="T403" i="85"/>
  <c r="Q375" i="85"/>
  <c r="R375" i="85"/>
  <c r="T375" i="85"/>
  <c r="Q399" i="85"/>
  <c r="R399" i="85"/>
  <c r="T399" i="85"/>
  <c r="T392" i="85"/>
  <c r="Q392" i="85"/>
  <c r="R392" i="85"/>
  <c r="T413" i="85"/>
  <c r="Q413" i="85"/>
  <c r="R413" i="85"/>
  <c r="Q409" i="85"/>
  <c r="R409" i="85"/>
  <c r="T409" i="85"/>
  <c r="T366" i="85"/>
  <c r="Q366" i="85"/>
  <c r="R366" i="85"/>
  <c r="T421" i="85"/>
  <c r="Q421" i="85"/>
  <c r="R421" i="85"/>
  <c r="T388" i="85"/>
  <c r="Q388" i="85"/>
  <c r="R388" i="85"/>
  <c r="Q435" i="85"/>
  <c r="R435" i="85"/>
  <c r="T435" i="85"/>
  <c r="T432" i="85"/>
  <c r="Q432" i="85"/>
  <c r="R432" i="85"/>
  <c r="T395" i="85"/>
  <c r="Q395" i="85"/>
  <c r="R395" i="85"/>
  <c r="Q443" i="85"/>
  <c r="R443" i="85"/>
  <c r="T443" i="85"/>
  <c r="T372" i="85"/>
  <c r="Q372" i="85"/>
  <c r="R372" i="85"/>
  <c r="T419" i="85"/>
  <c r="Q419" i="85"/>
  <c r="R419" i="85"/>
  <c r="Q355" i="85"/>
  <c r="R355" i="85"/>
  <c r="T355" i="85"/>
  <c r="T351" i="85"/>
  <c r="Q351" i="85"/>
  <c r="R351" i="85"/>
  <c r="Q397" i="85"/>
  <c r="R397" i="85"/>
  <c r="T397" i="85"/>
  <c r="Q389" i="85"/>
  <c r="R389" i="85"/>
  <c r="T389" i="85"/>
  <c r="T449" i="85"/>
  <c r="Q449" i="85"/>
  <c r="R449" i="85"/>
  <c r="T445" i="85"/>
  <c r="Q445" i="85"/>
  <c r="R445" i="85"/>
  <c r="Q353" i="85"/>
  <c r="R353" i="85"/>
  <c r="T353" i="85"/>
  <c r="T407" i="85"/>
  <c r="Q407" i="85"/>
  <c r="R407" i="85"/>
  <c r="T400" i="85"/>
  <c r="Q400" i="85"/>
  <c r="R400" i="85"/>
  <c r="T349" i="85"/>
  <c r="Q349" i="85"/>
  <c r="R349" i="85"/>
  <c r="T350" i="85"/>
  <c r="Q350" i="85"/>
  <c r="R350" i="85"/>
  <c r="Q402" i="85"/>
  <c r="R402" i="85"/>
  <c r="T402" i="85"/>
  <c r="T390" i="85"/>
  <c r="Q390" i="85"/>
  <c r="R390" i="85"/>
  <c r="T354" i="85"/>
  <c r="Q354" i="85"/>
  <c r="R354" i="85"/>
  <c r="T424" i="85"/>
  <c r="Q424" i="85"/>
  <c r="R424" i="85"/>
  <c r="Q453" i="85"/>
  <c r="R453" i="85"/>
  <c r="T453" i="85"/>
  <c r="T216" i="85"/>
  <c r="T162" i="85"/>
  <c r="T264" i="85"/>
  <c r="Q286" i="85"/>
  <c r="R286" i="85"/>
  <c r="Q302" i="85"/>
  <c r="R302" i="85"/>
  <c r="Q236" i="85"/>
  <c r="R236" i="85"/>
  <c r="T191" i="85"/>
  <c r="T184" i="85"/>
  <c r="T68" i="85"/>
  <c r="Q117" i="85"/>
  <c r="R117" i="85"/>
  <c r="Q118" i="85"/>
  <c r="R118" i="85"/>
  <c r="T105" i="85"/>
  <c r="Q253" i="85"/>
  <c r="R253" i="85"/>
  <c r="Q166" i="85"/>
  <c r="R166" i="85"/>
  <c r="T108" i="85"/>
  <c r="Q96" i="85"/>
  <c r="R96" i="85"/>
  <c r="T257" i="85"/>
  <c r="Q127" i="85"/>
  <c r="R127" i="85"/>
  <c r="Q47" i="85"/>
  <c r="R47" i="85"/>
  <c r="T259" i="85"/>
  <c r="T266" i="85"/>
  <c r="Q268" i="85"/>
  <c r="R268" i="85"/>
  <c r="Q290" i="85"/>
  <c r="R290" i="85"/>
  <c r="T217" i="85"/>
  <c r="T335" i="85"/>
  <c r="Q40" i="85"/>
  <c r="R40" i="85"/>
  <c r="Q228" i="85"/>
  <c r="R228" i="85"/>
  <c r="T244" i="85"/>
  <c r="Q230" i="85"/>
  <c r="R230" i="85"/>
  <c r="Q69" i="85"/>
  <c r="R69" i="85"/>
  <c r="S13" i="85"/>
  <c r="T13" i="85"/>
  <c r="T91" i="85"/>
  <c r="T158" i="85"/>
  <c r="Q254" i="85"/>
  <c r="R254" i="85"/>
  <c r="Q114" i="85"/>
  <c r="R114" i="85"/>
  <c r="Q267" i="85"/>
  <c r="R267" i="85"/>
  <c r="T334" i="85"/>
  <c r="T144" i="85"/>
  <c r="Q44" i="85"/>
  <c r="R44" i="85"/>
  <c r="Q140" i="85"/>
  <c r="R140" i="85"/>
  <c r="T250" i="85"/>
  <c r="Q260" i="85"/>
  <c r="R260" i="85"/>
  <c r="T51" i="85"/>
  <c r="Q51" i="85"/>
  <c r="R51" i="85"/>
  <c r="Q206" i="85"/>
  <c r="R206" i="85"/>
  <c r="T206" i="85"/>
  <c r="T45" i="85"/>
  <c r="Q45" i="85"/>
  <c r="R45" i="85"/>
  <c r="Q50" i="85"/>
  <c r="R50" i="85"/>
  <c r="T50" i="85"/>
  <c r="T79" i="85"/>
  <c r="Q79" i="85"/>
  <c r="R79" i="85"/>
  <c r="T146" i="85"/>
  <c r="Q146" i="85"/>
  <c r="R146" i="85"/>
  <c r="T28" i="85"/>
  <c r="Q28" i="85"/>
  <c r="R28" i="85"/>
  <c r="T34" i="85"/>
  <c r="Q34" i="85"/>
  <c r="R34" i="85"/>
  <c r="T37" i="85"/>
  <c r="Q37" i="85"/>
  <c r="R37" i="85"/>
  <c r="T41" i="85"/>
  <c r="Q41" i="85"/>
  <c r="R41" i="85"/>
  <c r="T187" i="85"/>
  <c r="Q187" i="85"/>
  <c r="R187" i="85"/>
  <c r="T188" i="85"/>
  <c r="Q188" i="85"/>
  <c r="R188" i="85"/>
  <c r="T270" i="85"/>
  <c r="Q270" i="85"/>
  <c r="R270" i="85"/>
  <c r="T239" i="85"/>
  <c r="Q239" i="85"/>
  <c r="R239" i="85"/>
  <c r="S9" i="85"/>
  <c r="T9" i="85"/>
  <c r="Q9" i="85"/>
  <c r="R9" i="85"/>
  <c r="Q21" i="85"/>
  <c r="R21" i="85"/>
  <c r="S21" i="85"/>
  <c r="T21" i="85"/>
  <c r="T125" i="85"/>
  <c r="Q125" i="85"/>
  <c r="R125" i="85"/>
  <c r="S23" i="85"/>
  <c r="T23" i="85"/>
  <c r="Q23" i="85"/>
  <c r="R23" i="85"/>
  <c r="Q124" i="85"/>
  <c r="R124" i="85"/>
  <c r="T124" i="85"/>
  <c r="T132" i="85"/>
  <c r="Q132" i="85"/>
  <c r="R132" i="85"/>
  <c r="Q7" i="85"/>
  <c r="R7" i="85"/>
  <c r="S7" i="85"/>
  <c r="T7" i="85"/>
  <c r="T62" i="85"/>
  <c r="Q62" i="85"/>
  <c r="R62" i="85"/>
  <c r="T126" i="85"/>
  <c r="Q126" i="85"/>
  <c r="R126" i="85"/>
  <c r="T134" i="85"/>
  <c r="Q134" i="85"/>
  <c r="R134" i="85"/>
  <c r="S3" i="85"/>
  <c r="T3" i="85"/>
  <c r="Q3" i="85"/>
  <c r="R3" i="85"/>
  <c r="Q5" i="85"/>
  <c r="R5" i="85"/>
  <c r="S5" i="85"/>
  <c r="T5" i="85"/>
  <c r="T211" i="85"/>
  <c r="Q211" i="85"/>
  <c r="R211" i="85"/>
  <c r="Q128" i="85"/>
  <c r="R128" i="85"/>
  <c r="T128" i="85"/>
  <c r="T210" i="85"/>
  <c r="Q210" i="85"/>
  <c r="R210" i="85"/>
  <c r="Q17" i="85"/>
  <c r="R17" i="85"/>
  <c r="S17" i="85"/>
  <c r="T17" i="85"/>
  <c r="S19" i="85"/>
  <c r="T19" i="85"/>
  <c r="Q19" i="85"/>
  <c r="R19" i="85"/>
  <c r="Q123" i="85"/>
  <c r="R123" i="85"/>
  <c r="T123" i="85"/>
  <c r="Q25" i="85"/>
  <c r="R25" i="85"/>
  <c r="T25" i="85"/>
  <c r="T71" i="85"/>
  <c r="Q71" i="85"/>
  <c r="R71" i="85"/>
  <c r="Q122" i="85"/>
  <c r="R122" i="85"/>
  <c r="T122" i="85"/>
  <c r="T130" i="85"/>
  <c r="Q130" i="85"/>
  <c r="R130" i="85"/>
  <c r="T341" i="85"/>
  <c r="Q341" i="85"/>
  <c r="R341" i="85"/>
  <c r="T338" i="85"/>
  <c r="Q338" i="85"/>
  <c r="R338" i="85"/>
  <c r="Q343" i="85"/>
  <c r="R343" i="85"/>
  <c r="T343" i="85"/>
  <c r="Q337" i="85"/>
  <c r="R337" i="85"/>
  <c r="T337" i="85"/>
  <c r="Q340" i="85"/>
  <c r="R340" i="85"/>
  <c r="T340" i="85"/>
  <c r="T339" i="85"/>
  <c r="Q339" i="85"/>
  <c r="R339" i="85"/>
  <c r="Q306" i="85"/>
  <c r="R306" i="85"/>
  <c r="T273" i="85"/>
  <c r="T252" i="85"/>
  <c r="T262" i="85"/>
  <c r="T271" i="85"/>
  <c r="Q273" i="85"/>
  <c r="R273" i="85"/>
  <c r="T336" i="85"/>
  <c r="Q336" i="85"/>
  <c r="R336" i="85"/>
  <c r="Q309" i="85"/>
  <c r="R309" i="85"/>
  <c r="Q305" i="85"/>
  <c r="R305" i="85"/>
  <c r="Q318" i="85"/>
  <c r="R318" i="85"/>
  <c r="T317" i="85"/>
  <c r="T300" i="85"/>
  <c r="Q275" i="85"/>
  <c r="R275" i="85"/>
  <c r="T258" i="85"/>
  <c r="Q304" i="85"/>
  <c r="R304" i="85"/>
  <c r="Q322" i="85"/>
  <c r="R322" i="85"/>
  <c r="T310" i="85"/>
  <c r="Q321" i="85"/>
  <c r="R321" i="85"/>
  <c r="T296" i="85"/>
  <c r="T332" i="85"/>
  <c r="Q289" i="85"/>
  <c r="R289" i="85"/>
  <c r="T295" i="85"/>
  <c r="Q331" i="85"/>
  <c r="R331" i="85"/>
  <c r="T314" i="85"/>
  <c r="T291" i="85"/>
  <c r="T287" i="85"/>
  <c r="Q263" i="85"/>
  <c r="R263" i="85"/>
  <c r="Q293" i="85"/>
  <c r="R293" i="85"/>
  <c r="Q291" i="85"/>
  <c r="R291" i="85"/>
  <c r="T318" i="85"/>
  <c r="Q315" i="85"/>
  <c r="R315" i="85"/>
  <c r="T315" i="85"/>
  <c r="T321" i="85"/>
  <c r="T255" i="85"/>
  <c r="Q294" i="85"/>
  <c r="R294" i="85"/>
  <c r="Q323" i="85"/>
  <c r="R323" i="85"/>
  <c r="T323" i="85"/>
  <c r="Q333" i="85"/>
  <c r="R333" i="85"/>
  <c r="T333" i="85"/>
  <c r="T320" i="85"/>
  <c r="Q320" i="85"/>
  <c r="R320" i="85"/>
  <c r="T256" i="85"/>
  <c r="Q328" i="85"/>
  <c r="R328" i="85"/>
  <c r="T328" i="85"/>
  <c r="T319" i="85"/>
  <c r="Q319" i="85"/>
  <c r="R319" i="85"/>
  <c r="Q317" i="85"/>
  <c r="R317" i="85"/>
  <c r="T329" i="85"/>
  <c r="Q329" i="85"/>
  <c r="R329" i="85"/>
  <c r="Q326" i="85"/>
  <c r="R326" i="85"/>
  <c r="T326" i="85"/>
  <c r="Q325" i="85"/>
  <c r="R325" i="85"/>
  <c r="T325" i="85"/>
  <c r="Q327" i="85"/>
  <c r="R327" i="85"/>
  <c r="T327" i="85"/>
  <c r="Q313" i="85"/>
  <c r="R313" i="85"/>
  <c r="Q288" i="85"/>
  <c r="R288" i="85"/>
  <c r="Q303" i="85"/>
  <c r="R303" i="85"/>
  <c r="T303" i="85"/>
  <c r="T313" i="85"/>
  <c r="Q231" i="85"/>
  <c r="R231" i="85"/>
  <c r="T231" i="85"/>
  <c r="Q219" i="85"/>
  <c r="R219" i="85"/>
  <c r="T219" i="85"/>
  <c r="Q223" i="85"/>
  <c r="R223" i="85"/>
  <c r="T223" i="85"/>
  <c r="Q233" i="85"/>
  <c r="R233" i="85"/>
  <c r="T233" i="85"/>
  <c r="Q265" i="85"/>
  <c r="R265" i="85"/>
  <c r="T265" i="85"/>
  <c r="Q248" i="85"/>
  <c r="R248" i="85"/>
  <c r="T248" i="85"/>
  <c r="Q272" i="85"/>
  <c r="R272" i="85"/>
  <c r="T272" i="85"/>
  <c r="Q281" i="85"/>
  <c r="R281" i="85"/>
  <c r="Q246" i="85"/>
  <c r="R246" i="85"/>
  <c r="T246" i="85"/>
  <c r="Q292" i="85"/>
  <c r="R292" i="85"/>
  <c r="T292" i="85"/>
  <c r="T267" i="85"/>
  <c r="T274" i="85"/>
  <c r="Q274" i="85"/>
  <c r="R274" i="85"/>
  <c r="T193" i="85"/>
  <c r="Q193" i="85"/>
  <c r="R193" i="85"/>
  <c r="Q137" i="85"/>
  <c r="R137" i="85"/>
  <c r="Q100" i="85"/>
  <c r="R100" i="85"/>
  <c r="T100" i="85"/>
  <c r="T97" i="85"/>
  <c r="T306" i="85"/>
  <c r="Q271" i="85"/>
  <c r="R271" i="85"/>
  <c r="T305" i="85"/>
  <c r="T309" i="85"/>
  <c r="Q279" i="85"/>
  <c r="R279" i="85"/>
  <c r="T293" i="85"/>
  <c r="Q332" i="85"/>
  <c r="R332" i="85"/>
  <c r="T289" i="85"/>
  <c r="Q295" i="85"/>
  <c r="R295" i="85"/>
  <c r="Q287" i="85"/>
  <c r="R287" i="85"/>
  <c r="Q310" i="85"/>
  <c r="R310" i="85"/>
  <c r="T263" i="85"/>
  <c r="T331" i="85"/>
  <c r="Q296" i="85"/>
  <c r="R296" i="85"/>
  <c r="T304" i="85"/>
  <c r="T275" i="85"/>
  <c r="T322" i="85"/>
  <c r="Q314" i="85"/>
  <c r="R314" i="85"/>
  <c r="Q258" i="85"/>
  <c r="R258" i="85"/>
  <c r="Q300" i="85"/>
  <c r="R300" i="85"/>
  <c r="Q255" i="85"/>
  <c r="R255" i="85"/>
  <c r="T288" i="85"/>
  <c r="Q256" i="85"/>
  <c r="R256" i="85"/>
  <c r="T294" i="85"/>
  <c r="Q316" i="85"/>
  <c r="R316" i="85"/>
  <c r="T316" i="85"/>
  <c r="Q324" i="85"/>
  <c r="R324" i="85"/>
  <c r="T324" i="85"/>
  <c r="T137" i="85"/>
  <c r="Q280" i="85"/>
  <c r="R280" i="85"/>
</calcChain>
</file>

<file path=xl/sharedStrings.xml><?xml version="1.0" encoding="utf-8"?>
<sst xmlns="http://schemas.openxmlformats.org/spreadsheetml/2006/main" count="11407" uniqueCount="1959">
  <si>
    <t>Region</t>
  </si>
  <si>
    <t>Model</t>
  </si>
  <si>
    <t>AOP Margin</t>
  </si>
  <si>
    <t>Dealer</t>
  </si>
  <si>
    <t>India</t>
  </si>
  <si>
    <t>Check</t>
  </si>
  <si>
    <t>Total</t>
  </si>
  <si>
    <t>Diff</t>
  </si>
  <si>
    <t>Row Labels</t>
  </si>
  <si>
    <t>Margin Status</t>
  </si>
  <si>
    <t>USD</t>
  </si>
  <si>
    <t>Discount</t>
  </si>
  <si>
    <t>Date</t>
  </si>
  <si>
    <t>Dealer Net</t>
  </si>
  <si>
    <t>Margin Impact</t>
  </si>
  <si>
    <t>JPY</t>
  </si>
  <si>
    <t>AUD</t>
  </si>
  <si>
    <t>Class</t>
  </si>
  <si>
    <t>Class 1</t>
  </si>
  <si>
    <t>Class 2</t>
  </si>
  <si>
    <t>Class 3</t>
  </si>
  <si>
    <t>Class 4</t>
  </si>
  <si>
    <t>Class 5 not BT</t>
  </si>
  <si>
    <t>Class 5 BT</t>
  </si>
  <si>
    <t>Plant</t>
  </si>
  <si>
    <t>Maximal</t>
  </si>
  <si>
    <t>Ruyi</t>
  </si>
  <si>
    <t>Yale</t>
  </si>
  <si>
    <t>7R3</t>
  </si>
  <si>
    <t>3C1</t>
  </si>
  <si>
    <t>7S1</t>
  </si>
  <si>
    <t>Jan 21 I/L</t>
  </si>
  <si>
    <t>I</t>
  </si>
  <si>
    <t>II</t>
  </si>
  <si>
    <t>III</t>
  </si>
  <si>
    <t>IV</t>
  </si>
  <si>
    <t>V</t>
  </si>
  <si>
    <t>Craigavon</t>
  </si>
  <si>
    <t>Hyster</t>
  </si>
  <si>
    <t>Hangcha</t>
  </si>
  <si>
    <t>7S5</t>
  </si>
  <si>
    <t>7S4</t>
  </si>
  <si>
    <t>Greenville</t>
  </si>
  <si>
    <t>SN</t>
  </si>
  <si>
    <t>Masate</t>
  </si>
  <si>
    <t>7R1</t>
  </si>
  <si>
    <t>3D4</t>
  </si>
  <si>
    <t>Staxx</t>
  </si>
  <si>
    <t>6W9</t>
  </si>
  <si>
    <t>Nijmegen</t>
  </si>
  <si>
    <t>Series</t>
  </si>
  <si>
    <t>D466</t>
  </si>
  <si>
    <t>K160</t>
  </si>
  <si>
    <t>B464</t>
  </si>
  <si>
    <t>A268</t>
  </si>
  <si>
    <t>A968</t>
  </si>
  <si>
    <t>A7S5</t>
  </si>
  <si>
    <t>A976</t>
  </si>
  <si>
    <t>A7S4</t>
  </si>
  <si>
    <t>C881</t>
  </si>
  <si>
    <t>C900</t>
  </si>
  <si>
    <t>A7S1</t>
  </si>
  <si>
    <t>D871</t>
  </si>
  <si>
    <t>P007</t>
  </si>
  <si>
    <t>A3C1</t>
  </si>
  <si>
    <t>D236</t>
  </si>
  <si>
    <t>U005</t>
  </si>
  <si>
    <t>F214</t>
  </si>
  <si>
    <t>C225</t>
  </si>
  <si>
    <t>A7R1</t>
  </si>
  <si>
    <t>A3D4</t>
  </si>
  <si>
    <t>D849</t>
  </si>
  <si>
    <t>A7R7</t>
  </si>
  <si>
    <t>A7S8</t>
  </si>
  <si>
    <t>B868</t>
  </si>
  <si>
    <t>E264</t>
  </si>
  <si>
    <t>E861</t>
  </si>
  <si>
    <t>E826</t>
  </si>
  <si>
    <t>D439</t>
  </si>
  <si>
    <t>C915</t>
  </si>
  <si>
    <t>D435</t>
  </si>
  <si>
    <t>A3C3</t>
  </si>
  <si>
    <t>C477</t>
  </si>
  <si>
    <t>A408</t>
  </si>
  <si>
    <t>J877</t>
  </si>
  <si>
    <t>F878</t>
  </si>
  <si>
    <t>E812</t>
  </si>
  <si>
    <t>N019</t>
  </si>
  <si>
    <t>D475</t>
  </si>
  <si>
    <t>B891</t>
  </si>
  <si>
    <t>D456</t>
  </si>
  <si>
    <t>A985</t>
  </si>
  <si>
    <t>A7R3</t>
  </si>
  <si>
    <t>L006</t>
  </si>
  <si>
    <t>A3B5</t>
  </si>
  <si>
    <t>A3C4</t>
  </si>
  <si>
    <t>B869</t>
  </si>
  <si>
    <t>A474</t>
  </si>
  <si>
    <t>A276</t>
  </si>
  <si>
    <t>D875</t>
  </si>
  <si>
    <t>C883</t>
  </si>
  <si>
    <t>A404</t>
  </si>
  <si>
    <t>A3D1</t>
  </si>
  <si>
    <t>C238</t>
  </si>
  <si>
    <t>C295</t>
  </si>
  <si>
    <t>A3B1</t>
  </si>
  <si>
    <t>F222</t>
  </si>
  <si>
    <t>G807</t>
  </si>
  <si>
    <t>K813</t>
  </si>
  <si>
    <t>J004</t>
  </si>
  <si>
    <t>D299</t>
  </si>
  <si>
    <t>A253</t>
  </si>
  <si>
    <t>A3C5</t>
  </si>
  <si>
    <t>D909</t>
  </si>
  <si>
    <t>E444</t>
  </si>
  <si>
    <t>A970</t>
  </si>
  <si>
    <t>H187</t>
  </si>
  <si>
    <t>J117</t>
  </si>
  <si>
    <t>P177</t>
  </si>
  <si>
    <t>A7S3</t>
  </si>
  <si>
    <t>J008</t>
  </si>
  <si>
    <t>G818</t>
  </si>
  <si>
    <t>B925</t>
  </si>
  <si>
    <t>A7R0</t>
  </si>
  <si>
    <t>A955</t>
  </si>
  <si>
    <t>A3C9</t>
  </si>
  <si>
    <t>C455</t>
  </si>
  <si>
    <t>A7T1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</si>
  <si>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</si>
  <si>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</si>
  <si>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</si>
  <si>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</si>
  <si>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</si>
  <si>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</si>
  <si>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</si>
  <si>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</si>
  <si>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</si>
  <si>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</si>
  <si>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</si>
  <si>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</si>
  <si>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</si>
  <si>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A7S6</t>
  </si>
  <si>
    <t>A3C0</t>
  </si>
  <si>
    <t>A3B7</t>
  </si>
  <si>
    <t>B463</t>
  </si>
  <si>
    <t>AU</t>
  </si>
  <si>
    <t>A3B0</t>
  </si>
  <si>
    <t>H024</t>
  </si>
  <si>
    <t>P006</t>
  </si>
  <si>
    <t>H878</t>
  </si>
  <si>
    <t>Order #</t>
  </si>
  <si>
    <t>Actual Date</t>
  </si>
  <si>
    <t>Mkt / Brand</t>
  </si>
  <si>
    <t>Qty</t>
  </si>
  <si>
    <t>Copy paste Bookings in this field - no change of sequence</t>
  </si>
  <si>
    <t>DO NOT CHANGE SEQUENCE - FORMATED</t>
  </si>
  <si>
    <t>Currency</t>
  </si>
  <si>
    <t>Do not Change</t>
  </si>
  <si>
    <t>Plants</t>
  </si>
  <si>
    <t>Get from NOVO download</t>
  </si>
  <si>
    <t>Calculated</t>
  </si>
  <si>
    <t>List Price</t>
  </si>
  <si>
    <t>Margin @ AOP Rate</t>
  </si>
  <si>
    <t>Country</t>
  </si>
  <si>
    <t>A3B6</t>
  </si>
  <si>
    <t>A3C6</t>
  </si>
  <si>
    <t>B674</t>
  </si>
  <si>
    <t>R&amp;C&amp;Or#&amp;Model</t>
  </si>
  <si>
    <t>276</t>
  </si>
  <si>
    <t>955</t>
  </si>
  <si>
    <t>970</t>
  </si>
  <si>
    <t>976</t>
  </si>
  <si>
    <t>807</t>
  </si>
  <si>
    <t>160</t>
  </si>
  <si>
    <t>813</t>
  </si>
  <si>
    <t>177</t>
  </si>
  <si>
    <t>005</t>
  </si>
  <si>
    <t>A099</t>
  </si>
  <si>
    <t>099</t>
  </si>
  <si>
    <t>268</t>
  </si>
  <si>
    <t>474</t>
  </si>
  <si>
    <t>264</t>
  </si>
  <si>
    <t>E470</t>
  </si>
  <si>
    <t>470</t>
  </si>
  <si>
    <t>826</t>
  </si>
  <si>
    <t>861</t>
  </si>
  <si>
    <t>H118</t>
  </si>
  <si>
    <t>118</t>
  </si>
  <si>
    <t>A245</t>
  </si>
  <si>
    <t>245</t>
  </si>
  <si>
    <t>A419</t>
  </si>
  <si>
    <t>419</t>
  </si>
  <si>
    <t>891</t>
  </si>
  <si>
    <t>C292</t>
  </si>
  <si>
    <t>292</t>
  </si>
  <si>
    <t>455</t>
  </si>
  <si>
    <t>477</t>
  </si>
  <si>
    <t>D476</t>
  </si>
  <si>
    <t>476</t>
  </si>
  <si>
    <t>E896</t>
  </si>
  <si>
    <t>896</t>
  </si>
  <si>
    <t>253</t>
  </si>
  <si>
    <t>A432</t>
  </si>
  <si>
    <t>432</t>
  </si>
  <si>
    <t>B460</t>
  </si>
  <si>
    <t>460</t>
  </si>
  <si>
    <t>464</t>
  </si>
  <si>
    <t>869</t>
  </si>
  <si>
    <t>435</t>
  </si>
  <si>
    <t>849</t>
  </si>
  <si>
    <t>439</t>
  </si>
  <si>
    <t>456</t>
  </si>
  <si>
    <t>D843</t>
  </si>
  <si>
    <t>843</t>
  </si>
  <si>
    <t>444</t>
  </si>
  <si>
    <t>3C4</t>
  </si>
  <si>
    <t>3C0</t>
  </si>
  <si>
    <t>A366</t>
  </si>
  <si>
    <t>366</t>
  </si>
  <si>
    <t>404</t>
  </si>
  <si>
    <t>C289</t>
  </si>
  <si>
    <t>289</t>
  </si>
  <si>
    <t>C917</t>
  </si>
  <si>
    <t>917</t>
  </si>
  <si>
    <t>214</t>
  </si>
  <si>
    <t>222</t>
  </si>
  <si>
    <t>008</t>
  </si>
  <si>
    <t>019</t>
  </si>
  <si>
    <t>3B1</t>
  </si>
  <si>
    <t>A3B3</t>
  </si>
  <si>
    <t>3B3</t>
  </si>
  <si>
    <t>3C3</t>
  </si>
  <si>
    <t>A7R5</t>
  </si>
  <si>
    <t>7R5</t>
  </si>
  <si>
    <t>A7R6</t>
  </si>
  <si>
    <t>7R6</t>
  </si>
  <si>
    <t>7S3</t>
  </si>
  <si>
    <t>225</t>
  </si>
  <si>
    <t>881</t>
  </si>
  <si>
    <t>900</t>
  </si>
  <si>
    <t>915</t>
  </si>
  <si>
    <t>466</t>
  </si>
  <si>
    <t>475</t>
  </si>
  <si>
    <t>871</t>
  </si>
  <si>
    <t>812</t>
  </si>
  <si>
    <t>A6W9</t>
  </si>
  <si>
    <t>968</t>
  </si>
  <si>
    <t>985</t>
  </si>
  <si>
    <t>A935</t>
  </si>
  <si>
    <t>935</t>
  </si>
  <si>
    <t>C265</t>
  </si>
  <si>
    <t>265</t>
  </si>
  <si>
    <t>E815</t>
  </si>
  <si>
    <t>815</t>
  </si>
  <si>
    <t>A185</t>
  </si>
  <si>
    <t>185</t>
  </si>
  <si>
    <t>B495</t>
  </si>
  <si>
    <t>495</t>
  </si>
  <si>
    <t>D820</t>
  </si>
  <si>
    <t>820</t>
  </si>
  <si>
    <t>E857</t>
  </si>
  <si>
    <t>857</t>
  </si>
  <si>
    <t>7R0</t>
  </si>
  <si>
    <t>3B0</t>
  </si>
  <si>
    <t>3B5</t>
  </si>
  <si>
    <t>3B6</t>
  </si>
  <si>
    <t>A280</t>
  </si>
  <si>
    <t>280</t>
  </si>
  <si>
    <t>875</t>
  </si>
  <si>
    <t>006</t>
  </si>
  <si>
    <t>Berea</t>
  </si>
  <si>
    <t>878</t>
  </si>
  <si>
    <t>007</t>
  </si>
  <si>
    <t>877</t>
  </si>
  <si>
    <t>236</t>
  </si>
  <si>
    <t>117</t>
  </si>
  <si>
    <t>238</t>
  </si>
  <si>
    <t>299</t>
  </si>
  <si>
    <t>3C5</t>
  </si>
  <si>
    <t>A418</t>
  </si>
  <si>
    <t>C224</t>
  </si>
  <si>
    <t>E843</t>
  </si>
  <si>
    <t>A413</t>
  </si>
  <si>
    <t>J876</t>
  </si>
  <si>
    <t>G001</t>
  </si>
  <si>
    <t>224</t>
  </si>
  <si>
    <t>3C6</t>
  </si>
  <si>
    <t>925</t>
  </si>
  <si>
    <t>3B7</t>
  </si>
  <si>
    <t>3C9</t>
  </si>
  <si>
    <t>408</t>
  </si>
  <si>
    <t>413</t>
  </si>
  <si>
    <t>876</t>
  </si>
  <si>
    <t>674</t>
  </si>
  <si>
    <t>909</t>
  </si>
  <si>
    <t>001</t>
  </si>
  <si>
    <t>7T1</t>
  </si>
  <si>
    <t>004</t>
  </si>
  <si>
    <t>7R7</t>
  </si>
  <si>
    <t>7S6</t>
  </si>
  <si>
    <t>Margin Impact USD</t>
  </si>
  <si>
    <t>USD DN</t>
  </si>
  <si>
    <t>A3C7</t>
  </si>
  <si>
    <t>A7S7</t>
  </si>
  <si>
    <t>A3C8</t>
  </si>
  <si>
    <t>A7S9</t>
  </si>
  <si>
    <t>D442</t>
  </si>
  <si>
    <t>A920</t>
  </si>
  <si>
    <t>Brands=&gt;</t>
  </si>
  <si>
    <t>Hyster Series</t>
  </si>
  <si>
    <t>Yale Series</t>
  </si>
  <si>
    <t>&lt;=Brands</t>
  </si>
  <si>
    <t>API</t>
  </si>
  <si>
    <t>K160/G807</t>
  </si>
  <si>
    <t>C219</t>
  </si>
  <si>
    <t>P006/H878</t>
  </si>
  <si>
    <t>Only from Berea US</t>
  </si>
  <si>
    <t>D299/D909</t>
  </si>
  <si>
    <t>A938</t>
  </si>
  <si>
    <t>A250</t>
  </si>
  <si>
    <t>A410</t>
  </si>
  <si>
    <t>A901</t>
  </si>
  <si>
    <t>A244</t>
  </si>
  <si>
    <t>A284</t>
  </si>
  <si>
    <t>A373</t>
  </si>
  <si>
    <t>A372</t>
  </si>
  <si>
    <t>A282</t>
  </si>
  <si>
    <t>A283</t>
  </si>
  <si>
    <t>E174</t>
  </si>
  <si>
    <t>D801</t>
  </si>
  <si>
    <t>A169</t>
  </si>
  <si>
    <t>A497</t>
  </si>
  <si>
    <t>A942</t>
  </si>
  <si>
    <t>C457</t>
  </si>
  <si>
    <t>C862</t>
  </si>
  <si>
    <t>B865</t>
  </si>
  <si>
    <t>B234</t>
  </si>
  <si>
    <t>B895</t>
  </si>
  <si>
    <t>C453</t>
  </si>
  <si>
    <t>D821</t>
  </si>
  <si>
    <t>C454</t>
  </si>
  <si>
    <t>D819</t>
  </si>
  <si>
    <t>E439</t>
  </si>
  <si>
    <t>C449</t>
  </si>
  <si>
    <t>C854</t>
  </si>
  <si>
    <t>D852</t>
  </si>
  <si>
    <t>C847</t>
  </si>
  <si>
    <t>B447</t>
  </si>
  <si>
    <t>B860</t>
  </si>
  <si>
    <t>B231</t>
  </si>
  <si>
    <t>B897</t>
  </si>
  <si>
    <t>B229</t>
  </si>
  <si>
    <t>B894</t>
  </si>
  <si>
    <t>Ramos</t>
  </si>
  <si>
    <t>D902</t>
  </si>
  <si>
    <t>C903</t>
  </si>
  <si>
    <t>E230</t>
  </si>
  <si>
    <t>C262</t>
  </si>
  <si>
    <t>C257</t>
  </si>
  <si>
    <t>C287</t>
  </si>
  <si>
    <t>BRD</t>
  </si>
  <si>
    <t>A489</t>
  </si>
  <si>
    <t>A989</t>
  </si>
  <si>
    <t>C910</t>
  </si>
  <si>
    <t>G879</t>
  </si>
  <si>
    <t>B267</t>
  </si>
  <si>
    <t>B967</t>
  </si>
  <si>
    <t>Class 5 NOT BT</t>
  </si>
  <si>
    <t>D810</t>
  </si>
  <si>
    <t>A3D0</t>
  </si>
  <si>
    <t>A7T0</t>
  </si>
  <si>
    <t>N/A</t>
  </si>
  <si>
    <t>D917</t>
  </si>
  <si>
    <t>K117</t>
  </si>
  <si>
    <t>A921</t>
  </si>
  <si>
    <t>A428</t>
  </si>
  <si>
    <t>M Series</t>
  </si>
  <si>
    <t>219</t>
  </si>
  <si>
    <t>250</t>
  </si>
  <si>
    <t>920</t>
  </si>
  <si>
    <t>244</t>
  </si>
  <si>
    <t>373</t>
  </si>
  <si>
    <t>282</t>
  </si>
  <si>
    <t>174</t>
  </si>
  <si>
    <t>169</t>
  </si>
  <si>
    <t>457</t>
  </si>
  <si>
    <t>463</t>
  </si>
  <si>
    <t>234</t>
  </si>
  <si>
    <t>453</t>
  </si>
  <si>
    <t>454</t>
  </si>
  <si>
    <t>449</t>
  </si>
  <si>
    <t>442</t>
  </si>
  <si>
    <t>447</t>
  </si>
  <si>
    <t>231</t>
  </si>
  <si>
    <t>229</t>
  </si>
  <si>
    <t>3D1</t>
  </si>
  <si>
    <t>3C7</t>
  </si>
  <si>
    <t>3C8</t>
  </si>
  <si>
    <t>230</t>
  </si>
  <si>
    <t>262</t>
  </si>
  <si>
    <t>257</t>
  </si>
  <si>
    <t>489</t>
  </si>
  <si>
    <t>187</t>
  </si>
  <si>
    <t>024</t>
  </si>
  <si>
    <t>267</t>
  </si>
  <si>
    <t>3D0</t>
  </si>
  <si>
    <t>921</t>
  </si>
  <si>
    <t>883</t>
  </si>
  <si>
    <t>938</t>
  </si>
  <si>
    <t>410</t>
  </si>
  <si>
    <t>901</t>
  </si>
  <si>
    <t>295</t>
  </si>
  <si>
    <t>284</t>
  </si>
  <si>
    <t>372</t>
  </si>
  <si>
    <t>283</t>
  </si>
  <si>
    <t>801</t>
  </si>
  <si>
    <t>497</t>
  </si>
  <si>
    <t>942</t>
  </si>
  <si>
    <t>862</t>
  </si>
  <si>
    <t>865</t>
  </si>
  <si>
    <t>868</t>
  </si>
  <si>
    <t>895</t>
  </si>
  <si>
    <t>821</t>
  </si>
  <si>
    <t>819</t>
  </si>
  <si>
    <t>854</t>
  </si>
  <si>
    <t>852</t>
  </si>
  <si>
    <t>847</t>
  </si>
  <si>
    <t>860</t>
  </si>
  <si>
    <t>897</t>
  </si>
  <si>
    <t>894</t>
  </si>
  <si>
    <t>7S7</t>
  </si>
  <si>
    <t>7S9</t>
  </si>
  <si>
    <t>7S8</t>
  </si>
  <si>
    <t>902</t>
  </si>
  <si>
    <t>903</t>
  </si>
  <si>
    <t>287</t>
  </si>
  <si>
    <t>989</t>
  </si>
  <si>
    <t>910</t>
  </si>
  <si>
    <t>818</t>
  </si>
  <si>
    <t>879</t>
  </si>
  <si>
    <t>967</t>
  </si>
  <si>
    <t>810</t>
  </si>
  <si>
    <t>7T0</t>
  </si>
  <si>
    <t>418</t>
  </si>
  <si>
    <t>428</t>
  </si>
  <si>
    <t>D847</t>
  </si>
  <si>
    <t>Not Offer</t>
  </si>
  <si>
    <t>A375</t>
  </si>
  <si>
    <t>375</t>
  </si>
  <si>
    <t>R177</t>
  </si>
  <si>
    <t>E875</t>
  </si>
  <si>
    <t>B978</t>
  </si>
  <si>
    <t>978</t>
  </si>
  <si>
    <t>B979</t>
  </si>
  <si>
    <t>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</si>
  <si>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</si>
  <si>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</si>
  <si>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</si>
  <si>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</si>
  <si>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</si>
  <si>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</si>
  <si>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</si>
  <si>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</si>
  <si>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</si>
  <si>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A396</t>
  </si>
  <si>
    <t>396</t>
  </si>
  <si>
    <t>A249</t>
  </si>
  <si>
    <t>249</t>
  </si>
  <si>
    <t>A485</t>
  </si>
  <si>
    <t>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</si>
  <si>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</si>
  <si>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</si>
  <si>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</si>
  <si>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</si>
  <si>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</si>
  <si>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</si>
  <si>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</si>
  <si>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</si>
  <si>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</si>
  <si>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D861</t>
  </si>
  <si>
    <t>E214</t>
  </si>
  <si>
    <t>E222</t>
  </si>
  <si>
    <t>F879</t>
  </si>
  <si>
    <t>G024</t>
  </si>
  <si>
    <t>H008</t>
  </si>
  <si>
    <t>H876</t>
  </si>
  <si>
    <t>H877</t>
  </si>
  <si>
    <t>L019</t>
  </si>
  <si>
    <t>N007</t>
  </si>
  <si>
    <t>A290</t>
  </si>
  <si>
    <t>290</t>
  </si>
  <si>
    <t>A411</t>
  </si>
  <si>
    <t>411</t>
  </si>
  <si>
    <t>A417</t>
  </si>
  <si>
    <t>417</t>
  </si>
  <si>
    <t>A973</t>
  </si>
  <si>
    <t>973</t>
  </si>
  <si>
    <t>C447</t>
  </si>
  <si>
    <t>C860</t>
  </si>
  <si>
    <t>A406</t>
  </si>
  <si>
    <t>A961</t>
  </si>
  <si>
    <t>406</t>
  </si>
  <si>
    <t>961</t>
  </si>
  <si>
    <t>EUR</t>
  </si>
  <si>
    <t>check from description</t>
  </si>
  <si>
    <t>check from last column in quote (NOVO)</t>
  </si>
  <si>
    <t>SPED option (DN)</t>
  </si>
  <si>
    <t>Comments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</si>
  <si>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</si>
  <si>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</si>
  <si>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</si>
  <si>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</si>
  <si>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</si>
  <si>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</si>
  <si>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</si>
  <si>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</si>
  <si>
    <t>AUD Mnft cost</t>
  </si>
  <si>
    <t>USD Mnft cost</t>
  </si>
  <si>
    <t>Total Cost</t>
  </si>
  <si>
    <t>Margin %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</si>
  <si>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</si>
  <si>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</si>
  <si>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</si>
  <si>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</si>
  <si>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</si>
  <si>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</si>
  <si>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</si>
  <si>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</si>
  <si>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</si>
  <si>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Variance by truck=&gt;invoiced by truck</t>
  </si>
  <si>
    <t>ZUNT</t>
  </si>
  <si>
    <t>010</t>
  </si>
  <si>
    <t>098</t>
  </si>
  <si>
    <t>108</t>
  </si>
  <si>
    <t>114</t>
  </si>
  <si>
    <t>138</t>
  </si>
  <si>
    <t>171</t>
  </si>
  <si>
    <t>172</t>
  </si>
  <si>
    <t>173</t>
  </si>
  <si>
    <t>203</t>
  </si>
  <si>
    <t>210</t>
  </si>
  <si>
    <t>215</t>
  </si>
  <si>
    <t>216</t>
  </si>
  <si>
    <t>217</t>
  </si>
  <si>
    <t>218</t>
  </si>
  <si>
    <t>226</t>
  </si>
  <si>
    <t>232</t>
  </si>
  <si>
    <t>233</t>
  </si>
  <si>
    <t>240</t>
  </si>
  <si>
    <t>241</t>
  </si>
  <si>
    <t>261</t>
  </si>
  <si>
    <t>266</t>
  </si>
  <si>
    <t>269</t>
  </si>
  <si>
    <t>273</t>
  </si>
  <si>
    <t>274</t>
  </si>
  <si>
    <t>279</t>
  </si>
  <si>
    <t>281</t>
  </si>
  <si>
    <t>285</t>
  </si>
  <si>
    <t>288</t>
  </si>
  <si>
    <t>370</t>
  </si>
  <si>
    <t>374</t>
  </si>
  <si>
    <t>377</t>
  </si>
  <si>
    <t>378</t>
  </si>
  <si>
    <t>379</t>
  </si>
  <si>
    <t>402</t>
  </si>
  <si>
    <t>416</t>
  </si>
  <si>
    <t>433</t>
  </si>
  <si>
    <t>437</t>
  </si>
  <si>
    <t>438</t>
  </si>
  <si>
    <t>440</t>
  </si>
  <si>
    <t>441</t>
  </si>
  <si>
    <t>443</t>
  </si>
  <si>
    <t>445</t>
  </si>
  <si>
    <t>448</t>
  </si>
  <si>
    <t>450</t>
  </si>
  <si>
    <t>462</t>
  </si>
  <si>
    <t>471</t>
  </si>
  <si>
    <t>472</t>
  </si>
  <si>
    <t>473</t>
  </si>
  <si>
    <t>478</t>
  </si>
  <si>
    <t>802</t>
  </si>
  <si>
    <t>809</t>
  </si>
  <si>
    <t>814</t>
  </si>
  <si>
    <t>827</t>
  </si>
  <si>
    <t>829</t>
  </si>
  <si>
    <t>839</t>
  </si>
  <si>
    <t>841</t>
  </si>
  <si>
    <t>842</t>
  </si>
  <si>
    <t>845</t>
  </si>
  <si>
    <t>846</t>
  </si>
  <si>
    <t>853</t>
  </si>
  <si>
    <t>855</t>
  </si>
  <si>
    <t>856</t>
  </si>
  <si>
    <t>867</t>
  </si>
  <si>
    <t>882</t>
  </si>
  <si>
    <t>888</t>
  </si>
  <si>
    <t>889</t>
  </si>
  <si>
    <t>890</t>
  </si>
  <si>
    <t>892</t>
  </si>
  <si>
    <t>893</t>
  </si>
  <si>
    <t>899</t>
  </si>
  <si>
    <t>905</t>
  </si>
  <si>
    <t>908</t>
  </si>
  <si>
    <t>939</t>
  </si>
  <si>
    <t>943</t>
  </si>
  <si>
    <t>956</t>
  </si>
  <si>
    <t>966</t>
  </si>
  <si>
    <t>969</t>
  </si>
  <si>
    <t>974</t>
  </si>
  <si>
    <t>992</t>
  </si>
  <si>
    <t>3C2</t>
  </si>
  <si>
    <t>7S2</t>
  </si>
  <si>
    <t>254</t>
  </si>
  <si>
    <t>V-BT</t>
  </si>
  <si>
    <t>AU BT Duty</t>
  </si>
  <si>
    <t>Surcharge</t>
  </si>
  <si>
    <t>warranty</t>
  </si>
  <si>
    <t>AU freight</t>
  </si>
  <si>
    <t>AU class5 BT duty Fee 5%</t>
  </si>
  <si>
    <t>class</t>
  </si>
  <si>
    <t>Cost Uplift</t>
  </si>
  <si>
    <t>USA</t>
  </si>
  <si>
    <t>Netherlands</t>
  </si>
  <si>
    <t>Italy</t>
  </si>
  <si>
    <t>Ireland</t>
  </si>
  <si>
    <t>EUR to USD</t>
  </si>
  <si>
    <t>EUR to AUD</t>
  </si>
  <si>
    <t>USD to AUD</t>
  </si>
  <si>
    <t>AUD to USD</t>
  </si>
  <si>
    <t>SPED quote (DN)</t>
  </si>
  <si>
    <t>NEW Q1  Cost Uplift</t>
  </si>
  <si>
    <t>R007</t>
  </si>
  <si>
    <t>A3D9</t>
  </si>
  <si>
    <t>A7T9</t>
  </si>
  <si>
    <t>7T9</t>
  </si>
  <si>
    <t>3D9</t>
  </si>
  <si>
    <t>Grand Total(2023)</t>
  </si>
  <si>
    <t>Grand Total(2022)</t>
  </si>
  <si>
    <t>A3B4</t>
  </si>
  <si>
    <t>A7S0</t>
  </si>
  <si>
    <t>7S0</t>
  </si>
  <si>
    <t>A3B8</t>
  </si>
  <si>
    <t>3B8</t>
  </si>
  <si>
    <t>3B4</t>
  </si>
  <si>
    <t>B245</t>
  </si>
  <si>
    <t>7R8</t>
  </si>
  <si>
    <t>AOP 2022</t>
  </si>
  <si>
    <t>AOP 2023</t>
  </si>
  <si>
    <t xml:space="preserve">       1.4892 </t>
  </si>
  <si>
    <t xml:space="preserve">       0.1436 </t>
  </si>
  <si>
    <t xml:space="preserve">       0.2139 </t>
  </si>
  <si>
    <t>MFG Cost</t>
  </si>
  <si>
    <t>K876</t>
  </si>
  <si>
    <t>`</t>
  </si>
  <si>
    <t/>
  </si>
  <si>
    <t>2</t>
  </si>
  <si>
    <t>A</t>
  </si>
  <si>
    <t>065</t>
  </si>
  <si>
    <t>006065</t>
  </si>
  <si>
    <t>DILOK AND SONS CO.,LTD.</t>
  </si>
  <si>
    <t>TH</t>
  </si>
  <si>
    <t>H63830</t>
  </si>
  <si>
    <t>R</t>
  </si>
  <si>
    <t>TH2023/8685</t>
  </si>
  <si>
    <t>J2.5UT</t>
  </si>
  <si>
    <t>1</t>
  </si>
  <si>
    <t>H63831</t>
  </si>
  <si>
    <t>TH2023/8686</t>
  </si>
  <si>
    <t>H63833</t>
  </si>
  <si>
    <t>TH2023/8687</t>
  </si>
  <si>
    <t>H63835</t>
  </si>
  <si>
    <t>TH2023/8688</t>
  </si>
  <si>
    <t>H63837</t>
  </si>
  <si>
    <t>TH2023/8689</t>
  </si>
  <si>
    <t>H63838</t>
  </si>
  <si>
    <t>TH2023/8690</t>
  </si>
  <si>
    <t>H63839</t>
  </si>
  <si>
    <t>TH2023/8691</t>
  </si>
  <si>
    <t>H63840</t>
  </si>
  <si>
    <t>TH2023/8692</t>
  </si>
  <si>
    <t>H63871</t>
  </si>
  <si>
    <t>TH2023/8693</t>
  </si>
  <si>
    <t>J1.8UT</t>
  </si>
  <si>
    <t>H63872</t>
  </si>
  <si>
    <t>TH2023/8694</t>
  </si>
  <si>
    <t>H63873</t>
  </si>
  <si>
    <t>TH2023/8695</t>
  </si>
  <si>
    <t>H63874</t>
  </si>
  <si>
    <t>TH2023/8696</t>
  </si>
  <si>
    <t>H63875</t>
  </si>
  <si>
    <t>TH2023/8697</t>
  </si>
  <si>
    <t>H63876</t>
  </si>
  <si>
    <t>TH2023/8698</t>
  </si>
  <si>
    <t>H63877</t>
  </si>
  <si>
    <t>TH2023/8699</t>
  </si>
  <si>
    <t>H63878</t>
  </si>
  <si>
    <t>TH2023/8700</t>
  </si>
  <si>
    <t>H63879</t>
  </si>
  <si>
    <t>TH2023/8701</t>
  </si>
  <si>
    <t>H63880</t>
  </si>
  <si>
    <t>TH2023/8702</t>
  </si>
  <si>
    <t>H63881</t>
  </si>
  <si>
    <t>TH2023/8703</t>
  </si>
  <si>
    <t>H63882</t>
  </si>
  <si>
    <t>TH2023/8704</t>
  </si>
  <si>
    <t>H63883</t>
  </si>
  <si>
    <t>TH2023/8705</t>
  </si>
  <si>
    <t>067</t>
  </si>
  <si>
    <t>804105</t>
  </si>
  <si>
    <t>PT UNIVERSAL TRAKTOR</t>
  </si>
  <si>
    <t>ID</t>
  </si>
  <si>
    <t>H63746</t>
  </si>
  <si>
    <t>126</t>
  </si>
  <si>
    <t>MPC15</t>
  </si>
  <si>
    <t>3</t>
  </si>
  <si>
    <t>H63747</t>
  </si>
  <si>
    <t>127</t>
  </si>
  <si>
    <t>H63748</t>
  </si>
  <si>
    <t>128</t>
  </si>
  <si>
    <t>H63749</t>
  </si>
  <si>
    <t>129</t>
  </si>
  <si>
    <t>H63750</t>
  </si>
  <si>
    <t>130</t>
  </si>
  <si>
    <t>H63751</t>
  </si>
  <si>
    <t>131</t>
  </si>
  <si>
    <t>H63752</t>
  </si>
  <si>
    <t>132</t>
  </si>
  <si>
    <t>H63753</t>
  </si>
  <si>
    <t>133</t>
  </si>
  <si>
    <t>H63754</t>
  </si>
  <si>
    <t>134</t>
  </si>
  <si>
    <t>H63755</t>
  </si>
  <si>
    <t>135</t>
  </si>
  <si>
    <t>H63756</t>
  </si>
  <si>
    <t>136</t>
  </si>
  <si>
    <t>H63757</t>
  </si>
  <si>
    <t>137</t>
  </si>
  <si>
    <t>H63758</t>
  </si>
  <si>
    <t>H63759</t>
  </si>
  <si>
    <t>139</t>
  </si>
  <si>
    <t>H63760</t>
  </si>
  <si>
    <t>140</t>
  </si>
  <si>
    <t>H63761</t>
  </si>
  <si>
    <t>141</t>
  </si>
  <si>
    <t>H63762</t>
  </si>
  <si>
    <t>142</t>
  </si>
  <si>
    <t>H63763</t>
  </si>
  <si>
    <t>143</t>
  </si>
  <si>
    <t>H63764</t>
  </si>
  <si>
    <t>144</t>
  </si>
  <si>
    <t>H63765</t>
  </si>
  <si>
    <t>145</t>
  </si>
  <si>
    <t>H63766</t>
  </si>
  <si>
    <t>146</t>
  </si>
  <si>
    <t>H63767</t>
  </si>
  <si>
    <t>147</t>
  </si>
  <si>
    <t>H63768</t>
  </si>
  <si>
    <t>148</t>
  </si>
  <si>
    <t>H63769</t>
  </si>
  <si>
    <t>149</t>
  </si>
  <si>
    <t>H63770</t>
  </si>
  <si>
    <t>150</t>
  </si>
  <si>
    <t>H63771</t>
  </si>
  <si>
    <t>151</t>
  </si>
  <si>
    <t>H63772</t>
  </si>
  <si>
    <t>152</t>
  </si>
  <si>
    <t>H63773</t>
  </si>
  <si>
    <t>153</t>
  </si>
  <si>
    <t>H63774</t>
  </si>
  <si>
    <t>154</t>
  </si>
  <si>
    <t>H63775</t>
  </si>
  <si>
    <t>155</t>
  </si>
  <si>
    <t>H63885</t>
  </si>
  <si>
    <t>TH2023/8706</t>
  </si>
  <si>
    <t>R1.6 406</t>
  </si>
  <si>
    <t>H63886</t>
  </si>
  <si>
    <t>TH2023/8707</t>
  </si>
  <si>
    <t>011005</t>
  </si>
  <si>
    <t>SIME DARBY MATERIAL</t>
  </si>
  <si>
    <t>MY</t>
  </si>
  <si>
    <t>H64073</t>
  </si>
  <si>
    <t>3030037366-1</t>
  </si>
  <si>
    <t>T3.0UT</t>
  </si>
  <si>
    <t>H64074</t>
  </si>
  <si>
    <t>3030037366-2</t>
  </si>
  <si>
    <t>H64075</t>
  </si>
  <si>
    <t>3030037366-3</t>
  </si>
  <si>
    <t>H64076</t>
  </si>
  <si>
    <t>3030037366-4</t>
  </si>
  <si>
    <t>H64077</t>
  </si>
  <si>
    <t>3030037366-5</t>
  </si>
  <si>
    <t>H64078</t>
  </si>
  <si>
    <t>3030037366-6</t>
  </si>
  <si>
    <t>P</t>
  </si>
  <si>
    <t>087575</t>
  </si>
  <si>
    <t>ADAPT-A-LIFT GROUP (QLD)</t>
  </si>
  <si>
    <t>H63745</t>
  </si>
  <si>
    <t>972945/001</t>
  </si>
  <si>
    <t>H3.0XT</t>
  </si>
  <si>
    <t>5</t>
  </si>
  <si>
    <t>814065</t>
  </si>
  <si>
    <t>JENBUNJERD CO LTD</t>
  </si>
  <si>
    <t>H64087</t>
  </si>
  <si>
    <t>POI2300875</t>
  </si>
  <si>
    <t>NDR035EC</t>
  </si>
  <si>
    <t>H64088</t>
  </si>
  <si>
    <t>POI2300876</t>
  </si>
  <si>
    <t>H64089</t>
  </si>
  <si>
    <t>POI2300877</t>
  </si>
  <si>
    <t>H64186</t>
  </si>
  <si>
    <t>POI2300886</t>
  </si>
  <si>
    <t>017005</t>
  </si>
  <si>
    <t>KY LUC CO., LTD</t>
  </si>
  <si>
    <t>VN</t>
  </si>
  <si>
    <t>H64084</t>
  </si>
  <si>
    <t>Y-U-03423-1</t>
  </si>
  <si>
    <t>GP35UX</t>
  </si>
  <si>
    <t>H64085</t>
  </si>
  <si>
    <t>Y-U-03423-2</t>
  </si>
  <si>
    <t>087565</t>
  </si>
  <si>
    <t>ADAPT-A-LIFT GROUP (VIC)</t>
  </si>
  <si>
    <t>H64197</t>
  </si>
  <si>
    <t>973066/001</t>
  </si>
  <si>
    <t>H5.5FT</t>
  </si>
  <si>
    <t>016315</t>
  </si>
  <si>
    <t>MICO MACHINERY &amp;</t>
  </si>
  <si>
    <t>H64209</t>
  </si>
  <si>
    <t>2123ST-MICHYG1</t>
  </si>
  <si>
    <t>R2.0HD</t>
  </si>
  <si>
    <t>H64210</t>
  </si>
  <si>
    <t>2123ST-MICHYG2</t>
  </si>
  <si>
    <t>H64211</t>
  </si>
  <si>
    <t>2123ST-MICHYG3</t>
  </si>
  <si>
    <t>H64452</t>
  </si>
  <si>
    <t>2223ST-MICHYG1</t>
  </si>
  <si>
    <t>PC1.5</t>
  </si>
  <si>
    <t>H64461</t>
  </si>
  <si>
    <t>2223ST-MICHYG10</t>
  </si>
  <si>
    <t>H64462</t>
  </si>
  <si>
    <t>2223ST-MICHYG11</t>
  </si>
  <si>
    <t>H64463</t>
  </si>
  <si>
    <t>2223ST-MICHYG12</t>
  </si>
  <si>
    <t>H64464</t>
  </si>
  <si>
    <t>2223ST-MICHYG13</t>
  </si>
  <si>
    <t>H64465</t>
  </si>
  <si>
    <t>2223ST-MICHYG14</t>
  </si>
  <si>
    <t>H64466</t>
  </si>
  <si>
    <t>2223ST-MICHYG15</t>
  </si>
  <si>
    <t>H64467</t>
  </si>
  <si>
    <t>2223ST-MICHYG16</t>
  </si>
  <si>
    <t>H64468</t>
  </si>
  <si>
    <t>2223ST-MICHYG17</t>
  </si>
  <si>
    <t>H64469</t>
  </si>
  <si>
    <t>2223ST-MICHYG18</t>
  </si>
  <si>
    <t>H64470</t>
  </si>
  <si>
    <t>2223ST-MICHYG19</t>
  </si>
  <si>
    <t>H64453</t>
  </si>
  <si>
    <t>2223ST-MICHYG2</t>
  </si>
  <si>
    <t>H64471</t>
  </si>
  <si>
    <t>2223ST-MICHYG20</t>
  </si>
  <si>
    <t>H64454</t>
  </si>
  <si>
    <t>2223ST-MICHYG3</t>
  </si>
  <si>
    <t>H64455</t>
  </si>
  <si>
    <t>2223ST-MICHYG4</t>
  </si>
  <si>
    <t>H64456</t>
  </si>
  <si>
    <t>2223ST-MICHYG5</t>
  </si>
  <si>
    <t>H64457</t>
  </si>
  <si>
    <t>2223ST-MICHYG6</t>
  </si>
  <si>
    <t>H64458</t>
  </si>
  <si>
    <t>2223ST-MICHYG7</t>
  </si>
  <si>
    <t>H64459</t>
  </si>
  <si>
    <t>2223ST-MICHYG8</t>
  </si>
  <si>
    <t>H64460</t>
  </si>
  <si>
    <t>2223ST-MICHYG9</t>
  </si>
  <si>
    <t>880905</t>
  </si>
  <si>
    <t>PROPERTY DEVELOPMENT LTD.</t>
  </si>
  <si>
    <t>BD</t>
  </si>
  <si>
    <t>H64702</t>
  </si>
  <si>
    <t>DR1</t>
  </si>
  <si>
    <t>GP30UX</t>
  </si>
  <si>
    <t>H64840</t>
  </si>
  <si>
    <t>974271/001</t>
  </si>
  <si>
    <t>001255</t>
  </si>
  <si>
    <t>H64844</t>
  </si>
  <si>
    <t>ID2023/1777</t>
  </si>
  <si>
    <t>H3.0UT</t>
  </si>
  <si>
    <t>H64845</t>
  </si>
  <si>
    <t>ID2023/1778</t>
  </si>
  <si>
    <t>H64846</t>
  </si>
  <si>
    <t>ID2023/1779</t>
  </si>
  <si>
    <t>H64847</t>
  </si>
  <si>
    <t>ID2023/1780</t>
  </si>
  <si>
    <t>816405</t>
  </si>
  <si>
    <t>YALE EQUIPMENT, INC</t>
  </si>
  <si>
    <t>KR</t>
  </si>
  <si>
    <t>H65373</t>
  </si>
  <si>
    <t>23115YKT1011</t>
  </si>
  <si>
    <t>MPW080-E</t>
  </si>
  <si>
    <t>H65374</t>
  </si>
  <si>
    <t>23116YKT1011</t>
  </si>
  <si>
    <t>H64868</t>
  </si>
  <si>
    <t>TH2023/8708</t>
  </si>
  <si>
    <t>R1.80EX  2</t>
  </si>
  <si>
    <t>H64861</t>
  </si>
  <si>
    <t>Y-U-03523-1</t>
  </si>
  <si>
    <t>MS15UX</t>
  </si>
  <si>
    <t>H64862</t>
  </si>
  <si>
    <t>Y-U-03523-2</t>
  </si>
  <si>
    <t>H64863</t>
  </si>
  <si>
    <t>Y-U-03523-3</t>
  </si>
  <si>
    <t>H65538</t>
  </si>
  <si>
    <t>Y-U-03623-1</t>
  </si>
  <si>
    <t>H65547</t>
  </si>
  <si>
    <t>Y-U-03623-10</t>
  </si>
  <si>
    <t>H65548</t>
  </si>
  <si>
    <t>Y-U-03623-11</t>
  </si>
  <si>
    <t>H65549</t>
  </si>
  <si>
    <t>Y-U-03623-12</t>
  </si>
  <si>
    <t>H65550</t>
  </si>
  <si>
    <t>Y-U-03623-13</t>
  </si>
  <si>
    <t>H65551</t>
  </si>
  <si>
    <t>Y-U-03623-14</t>
  </si>
  <si>
    <t>H65552</t>
  </si>
  <si>
    <t>Y-U-03623-15</t>
  </si>
  <si>
    <t>H65553</t>
  </si>
  <si>
    <t>Y-U-03623-16</t>
  </si>
  <si>
    <t>H65554</t>
  </si>
  <si>
    <t>Y-U-03623-17</t>
  </si>
  <si>
    <t>H65555</t>
  </si>
  <si>
    <t>Y-U-03623-18</t>
  </si>
  <si>
    <t>H65556</t>
  </si>
  <si>
    <t>Y-U-03623-19</t>
  </si>
  <si>
    <t>H65539</t>
  </si>
  <si>
    <t>Y-U-03623-2</t>
  </si>
  <si>
    <t>H65557</t>
  </si>
  <si>
    <t>Y-U-03623-20</t>
  </si>
  <si>
    <t>H65540</t>
  </si>
  <si>
    <t>Y-U-03623-3</t>
  </si>
  <si>
    <t>H65541</t>
  </si>
  <si>
    <t>Y-U-03623-4</t>
  </si>
  <si>
    <t>H65542</t>
  </si>
  <si>
    <t>Y-U-03623-5</t>
  </si>
  <si>
    <t>H65543</t>
  </si>
  <si>
    <t>Y-U-03623-6</t>
  </si>
  <si>
    <t>H65544</t>
  </si>
  <si>
    <t>Y-U-03623-7</t>
  </si>
  <si>
    <t>H65545</t>
  </si>
  <si>
    <t>Y-U-03623-8</t>
  </si>
  <si>
    <t>H65546</t>
  </si>
  <si>
    <t>Y-U-03623-9</t>
  </si>
  <si>
    <t>H65582</t>
  </si>
  <si>
    <t>TH2023/8709</t>
  </si>
  <si>
    <t>H65583</t>
  </si>
  <si>
    <t>TH2023/8710</t>
  </si>
  <si>
    <t>H65792</t>
  </si>
  <si>
    <t>TH2023/8711</t>
  </si>
  <si>
    <t>J2.5GX</t>
  </si>
  <si>
    <t>H65794</t>
  </si>
  <si>
    <t>TH2023/8712</t>
  </si>
  <si>
    <t>H65795</t>
  </si>
  <si>
    <t>TH2023/8713</t>
  </si>
  <si>
    <t>H65796</t>
  </si>
  <si>
    <t>TH2023/8714</t>
  </si>
  <si>
    <t>H65797</t>
  </si>
  <si>
    <t>TH2023/8715</t>
  </si>
  <si>
    <t>H65891</t>
  </si>
  <si>
    <t>TH2023/8716</t>
  </si>
  <si>
    <t>H2.5XT</t>
  </si>
  <si>
    <t>H65892</t>
  </si>
  <si>
    <t>TH2023/8717</t>
  </si>
  <si>
    <t>H65893</t>
  </si>
  <si>
    <t>TH2023/8718</t>
  </si>
  <si>
    <t>H65894</t>
  </si>
  <si>
    <t>TH2023/8719</t>
  </si>
  <si>
    <t>H65895</t>
  </si>
  <si>
    <t>TH2023/8720</t>
  </si>
  <si>
    <t>H65896</t>
  </si>
  <si>
    <t>TH2023/8721</t>
  </si>
  <si>
    <t>H65897</t>
  </si>
  <si>
    <t>TH2023/8722</t>
  </si>
  <si>
    <t>H65898</t>
  </si>
  <si>
    <t>TH2023/8723</t>
  </si>
  <si>
    <t>081265</t>
  </si>
  <si>
    <t>TA YIH MATERIALS HANDLING</t>
  </si>
  <si>
    <t>TW</t>
  </si>
  <si>
    <t>H65917</t>
  </si>
  <si>
    <t>HY-23H008</t>
  </si>
  <si>
    <t>J2.5XN</t>
  </si>
  <si>
    <t>005065</t>
  </si>
  <si>
    <t>HYSTER-YALE LIFT TRUCKS</t>
  </si>
  <si>
    <t>SG</t>
  </si>
  <si>
    <t>H65910</t>
  </si>
  <si>
    <t>HYS2023-047</t>
  </si>
  <si>
    <t>H65912</t>
  </si>
  <si>
    <t>HYS2023-048</t>
  </si>
  <si>
    <t>H65911</t>
  </si>
  <si>
    <t>HYS2023-049</t>
  </si>
  <si>
    <t>H65913</t>
  </si>
  <si>
    <t>HYS2023-050</t>
  </si>
  <si>
    <t>H65914</t>
  </si>
  <si>
    <t>HYS2023-051</t>
  </si>
  <si>
    <t>H65915</t>
  </si>
  <si>
    <t>HYS2023-052</t>
  </si>
  <si>
    <t>H66025</t>
  </si>
  <si>
    <t>ID2023/1775</t>
  </si>
  <si>
    <t>R1.50EX  2</t>
  </si>
  <si>
    <t>H65916</t>
  </si>
  <si>
    <t>ID2023/1776</t>
  </si>
  <si>
    <t>H66042</t>
  </si>
  <si>
    <t>2323ST-MICHYG1</t>
  </si>
  <si>
    <t>H66051</t>
  </si>
  <si>
    <t>2323ST-MICHYG10</t>
  </si>
  <si>
    <t>H66043</t>
  </si>
  <si>
    <t>2323ST-MICHYG2</t>
  </si>
  <si>
    <t>H66044</t>
  </si>
  <si>
    <t>2323ST-MICHYG3</t>
  </si>
  <si>
    <t>H66045</t>
  </si>
  <si>
    <t>2323ST-MICHYG4</t>
  </si>
  <si>
    <t>H66046</t>
  </si>
  <si>
    <t>2323ST-MICHYG5</t>
  </si>
  <si>
    <t>H66047</t>
  </si>
  <si>
    <t>2323ST-MICHYG6</t>
  </si>
  <si>
    <t>H66048</t>
  </si>
  <si>
    <t>2323ST-MICHYG7</t>
  </si>
  <si>
    <t>H66049</t>
  </si>
  <si>
    <t>2323ST-MICHYG8</t>
  </si>
  <si>
    <t>H66050</t>
  </si>
  <si>
    <t>2323ST-MICHYG9</t>
  </si>
  <si>
    <t>880805</t>
  </si>
  <si>
    <t>ELECTROMECH LIFT TRUCKS</t>
  </si>
  <si>
    <t>IN</t>
  </si>
  <si>
    <t>H66058</t>
  </si>
  <si>
    <t>23-24/I00183</t>
  </si>
  <si>
    <t>ERP35UX</t>
  </si>
  <si>
    <t>H66059</t>
  </si>
  <si>
    <t>23-24/I00183-02</t>
  </si>
  <si>
    <t>H66060</t>
  </si>
  <si>
    <t>23-24/I00184</t>
  </si>
  <si>
    <t>KDP35UX</t>
  </si>
  <si>
    <t>7</t>
  </si>
  <si>
    <t>H66065</t>
  </si>
  <si>
    <t>23-24/I00187</t>
  </si>
  <si>
    <t>MP20XUX</t>
  </si>
  <si>
    <t>H66068</t>
  </si>
  <si>
    <t>23-24/I00187-02</t>
  </si>
  <si>
    <t>H66069</t>
  </si>
  <si>
    <t>23-24/I00187-03</t>
  </si>
  <si>
    <t>H66066</t>
  </si>
  <si>
    <t>23-24/I00187-04</t>
  </si>
  <si>
    <t>MSL15XUX</t>
  </si>
  <si>
    <t>H66070</t>
  </si>
  <si>
    <t>23-24/I00187-05</t>
  </si>
  <si>
    <t>H66067</t>
  </si>
  <si>
    <t>23-24/I00188</t>
  </si>
  <si>
    <t>FBR15SZ</t>
  </si>
  <si>
    <t>H66026</t>
  </si>
  <si>
    <t>Y-U-03723-1</t>
  </si>
  <si>
    <t>H66035</t>
  </si>
  <si>
    <t>Y-U-03723-10</t>
  </si>
  <si>
    <t>H66027</t>
  </si>
  <si>
    <t>Y-U-03723-2</t>
  </si>
  <si>
    <t>H66028</t>
  </si>
  <si>
    <t>Y-U-03723-3</t>
  </si>
  <si>
    <t>H66029</t>
  </si>
  <si>
    <t>Y-U-03723-4</t>
  </si>
  <si>
    <t>H66030</t>
  </si>
  <si>
    <t>Y-U-03723-5</t>
  </si>
  <si>
    <t>H66031</t>
  </si>
  <si>
    <t>Y-U-03723-6</t>
  </si>
  <si>
    <t>H66032</t>
  </si>
  <si>
    <t>Y-U-03723-7</t>
  </si>
  <si>
    <t>H66033</t>
  </si>
  <si>
    <t>Y-U-03723-8</t>
  </si>
  <si>
    <t>H66034</t>
  </si>
  <si>
    <t>Y-U-03723-9</t>
  </si>
  <si>
    <t>087585</t>
  </si>
  <si>
    <t>ADAPT-A-LIFT GROUP (NSW)</t>
  </si>
  <si>
    <t>H64848</t>
  </si>
  <si>
    <t>974543/001</t>
  </si>
  <si>
    <t>J1.8UTT</t>
  </si>
  <si>
    <t>087805</t>
  </si>
  <si>
    <t>ADAPT-A-LIFT GROUP(NSW)</t>
  </si>
  <si>
    <t>H65375</t>
  </si>
  <si>
    <t>949130/001</t>
  </si>
  <si>
    <t>GP50VX</t>
  </si>
  <si>
    <t>H65376</t>
  </si>
  <si>
    <t>949130/002</t>
  </si>
  <si>
    <t>801465</t>
  </si>
  <si>
    <t>SOUTH QUEENSLAND HANDLING</t>
  </si>
  <si>
    <t>H65535</t>
  </si>
  <si>
    <t>52366</t>
  </si>
  <si>
    <t>GP20SMX</t>
  </si>
  <si>
    <t>H65536</t>
  </si>
  <si>
    <t>52367</t>
  </si>
  <si>
    <t>GP35MX</t>
  </si>
  <si>
    <t>H65537</t>
  </si>
  <si>
    <t>52368</t>
  </si>
  <si>
    <t>GP25MX</t>
  </si>
  <si>
    <t>080065</t>
  </si>
  <si>
    <t>SIME DARBY TRANSPORT (NZ)</t>
  </si>
  <si>
    <t>NZ</t>
  </si>
  <si>
    <t>H66024</t>
  </si>
  <si>
    <t>8917</t>
  </si>
  <si>
    <t>J3.5UT</t>
  </si>
  <si>
    <t>H64849</t>
  </si>
  <si>
    <t>973949/001</t>
  </si>
  <si>
    <t>H3.5XT</t>
  </si>
  <si>
    <t>Supplement 1090</t>
  </si>
  <si>
    <t>H66340</t>
  </si>
  <si>
    <t>Y-U-03823-A</t>
  </si>
  <si>
    <t>MP20UX</t>
  </si>
  <si>
    <t>H66341</t>
  </si>
  <si>
    <t>Y-U-03823-B</t>
  </si>
  <si>
    <t>H66282</t>
  </si>
  <si>
    <t>975711/001</t>
  </si>
  <si>
    <t>R1.4 406</t>
  </si>
  <si>
    <t>H66968</t>
  </si>
  <si>
    <t>975212/001</t>
  </si>
  <si>
    <t>RS46-41XD/75S</t>
  </si>
  <si>
    <t>H66969</t>
  </si>
  <si>
    <t>975212/002</t>
  </si>
  <si>
    <t>081645</t>
  </si>
  <si>
    <t>HYSTER KOREA INC.</t>
  </si>
  <si>
    <t>H66986</t>
  </si>
  <si>
    <t>23136HKT1019</t>
  </si>
  <si>
    <t>SL1.5UT</t>
  </si>
  <si>
    <t>H66987</t>
  </si>
  <si>
    <t>23137HKT1019</t>
  </si>
  <si>
    <t>P2.0UTS</t>
  </si>
  <si>
    <t>H66988</t>
  </si>
  <si>
    <t>23138HKT1019</t>
  </si>
  <si>
    <t>H66970</t>
  </si>
  <si>
    <t>52418</t>
  </si>
  <si>
    <t>GP70UX6</t>
  </si>
  <si>
    <t>H66979</t>
  </si>
  <si>
    <t>975202/001</t>
  </si>
  <si>
    <t>087605</t>
  </si>
  <si>
    <t>ADAPT-A-LIFT GROUP (WA)</t>
  </si>
  <si>
    <t>H66981</t>
  </si>
  <si>
    <t>975205/001</t>
  </si>
  <si>
    <t>H66982</t>
  </si>
  <si>
    <t>975205/002</t>
  </si>
  <si>
    <t>H66983</t>
  </si>
  <si>
    <t>975205/003</t>
  </si>
  <si>
    <t>H66984</t>
  </si>
  <si>
    <t>975205/004</t>
  </si>
  <si>
    <t>H66980</t>
  </si>
  <si>
    <t>975207/001</t>
  </si>
  <si>
    <t>H5.0UT</t>
  </si>
  <si>
    <t>Supplement 1180</t>
  </si>
  <si>
    <t>H66993</t>
  </si>
  <si>
    <t>HYS2023-045</t>
  </si>
  <si>
    <t>H5.0UTS6</t>
  </si>
  <si>
    <t>H66989</t>
  </si>
  <si>
    <t>HYS2023-053</t>
  </si>
  <si>
    <t>H66990</t>
  </si>
  <si>
    <t>HYS2023-054</t>
  </si>
  <si>
    <t>H66991</t>
  </si>
  <si>
    <t>HYS2023-055</t>
  </si>
  <si>
    <t>H66992</t>
  </si>
  <si>
    <t>HYS2023-056</t>
  </si>
  <si>
    <t>862065</t>
  </si>
  <si>
    <t>S.G EQUIPMENT LTD</t>
  </si>
  <si>
    <t>H67314</t>
  </si>
  <si>
    <t>N3117</t>
  </si>
  <si>
    <t>H67326</t>
  </si>
  <si>
    <t>N3138</t>
  </si>
  <si>
    <t>ERP25VL</t>
  </si>
  <si>
    <t>H67325</t>
  </si>
  <si>
    <t>N3137</t>
  </si>
  <si>
    <t>H67318</t>
  </si>
  <si>
    <t>N3136</t>
  </si>
  <si>
    <t>H67330</t>
  </si>
  <si>
    <t>N3135</t>
  </si>
  <si>
    <t>ERC065VG</t>
  </si>
  <si>
    <t>H67323</t>
  </si>
  <si>
    <t>N3134</t>
  </si>
  <si>
    <t>H67329</t>
  </si>
  <si>
    <t>N3133</t>
  </si>
  <si>
    <t>H67328</t>
  </si>
  <si>
    <t>N3132</t>
  </si>
  <si>
    <t>H67327</t>
  </si>
  <si>
    <t>N3131</t>
  </si>
  <si>
    <t>H67322</t>
  </si>
  <si>
    <t>N3130</t>
  </si>
  <si>
    <t>H67321</t>
  </si>
  <si>
    <t>N3129</t>
  </si>
  <si>
    <t>H67320</t>
  </si>
  <si>
    <t>N3128</t>
  </si>
  <si>
    <t>H67319</t>
  </si>
  <si>
    <t>N3127</t>
  </si>
  <si>
    <t>ERC055VG</t>
  </si>
  <si>
    <t>H67324</t>
  </si>
  <si>
    <t>N3126</t>
  </si>
  <si>
    <t>ERP18VT</t>
  </si>
  <si>
    <t>H67316</t>
  </si>
  <si>
    <t>N3125</t>
  </si>
  <si>
    <t>H67317</t>
  </si>
  <si>
    <t>N3124</t>
  </si>
  <si>
    <t>H67331</t>
  </si>
  <si>
    <t>976195/001</t>
  </si>
  <si>
    <t>H36XDS12</t>
  </si>
  <si>
    <t>H67498</t>
  </si>
  <si>
    <t>TH2023/8724</t>
  </si>
  <si>
    <t>H67499</t>
  </si>
  <si>
    <t>TH2023/8725</t>
  </si>
  <si>
    <t>H67500</t>
  </si>
  <si>
    <t>TH2023/8726</t>
  </si>
  <si>
    <t>H67501</t>
  </si>
  <si>
    <t>TH2023/8727</t>
  </si>
  <si>
    <t>H67502</t>
  </si>
  <si>
    <t>23139HKT1019</t>
  </si>
  <si>
    <t>H67504</t>
  </si>
  <si>
    <t>23140HKT1019</t>
  </si>
  <si>
    <t>H67503</t>
  </si>
  <si>
    <t>23141HKT1019</t>
  </si>
  <si>
    <t>R2.50EX  2</t>
  </si>
  <si>
    <t>806565</t>
  </si>
  <si>
    <t>PRESTAR MARKETING SDN BHD</t>
  </si>
  <si>
    <t>H67507</t>
  </si>
  <si>
    <t>GP25UX</t>
  </si>
  <si>
    <t>H67508</t>
  </si>
  <si>
    <t>H67509</t>
  </si>
  <si>
    <t>H67510</t>
  </si>
  <si>
    <t>Supplement 190</t>
  </si>
  <si>
    <t>H67709</t>
  </si>
  <si>
    <t>HYS2023-046A</t>
  </si>
  <si>
    <t>H67790</t>
  </si>
  <si>
    <t>TH2023/8728</t>
  </si>
  <si>
    <t>R1.6HD 406</t>
  </si>
  <si>
    <t>H67791</t>
  </si>
  <si>
    <t>TH2023/8729</t>
  </si>
  <si>
    <t>H67792</t>
  </si>
  <si>
    <t>TH2023/8730</t>
  </si>
  <si>
    <t>H67747</t>
  </si>
  <si>
    <t>Y-U-03923-1</t>
  </si>
  <si>
    <t>FBR18SZ</t>
  </si>
  <si>
    <t>H67748</t>
  </si>
  <si>
    <t>Y-U-03923-2</t>
  </si>
  <si>
    <t>H67722</t>
  </si>
  <si>
    <t>976585/013</t>
  </si>
  <si>
    <t>H67723</t>
  </si>
  <si>
    <t>976585/014</t>
  </si>
  <si>
    <t>087505</t>
  </si>
  <si>
    <t>H67724</t>
  </si>
  <si>
    <t>976592/013</t>
  </si>
  <si>
    <t>087595</t>
  </si>
  <si>
    <t>ADAPT-A-LIFT GROUP (SA)</t>
  </si>
  <si>
    <t>H67718</t>
  </si>
  <si>
    <t>976594/001</t>
  </si>
  <si>
    <t>H67720</t>
  </si>
  <si>
    <t>976594/002</t>
  </si>
  <si>
    <t>H67719</t>
  </si>
  <si>
    <t>976594/003</t>
  </si>
  <si>
    <t>H3.5UT</t>
  </si>
  <si>
    <t>H67721</t>
  </si>
  <si>
    <t>976594/004</t>
  </si>
  <si>
    <t>H67714</t>
  </si>
  <si>
    <t>976599/001</t>
  </si>
  <si>
    <t>H67716</t>
  </si>
  <si>
    <t>976599/002</t>
  </si>
  <si>
    <t>H67715</t>
  </si>
  <si>
    <t>976599/003</t>
  </si>
  <si>
    <t>H67717</t>
  </si>
  <si>
    <t>976599/004</t>
  </si>
  <si>
    <t>087625</t>
  </si>
  <si>
    <t>H67725</t>
  </si>
  <si>
    <t>976599/005</t>
  </si>
  <si>
    <t>Supplement 5160</t>
  </si>
  <si>
    <t>Supplement 100</t>
  </si>
  <si>
    <t>H67315</t>
  </si>
  <si>
    <t>H67843</t>
  </si>
  <si>
    <t>H67844</t>
  </si>
  <si>
    <t>H67845</t>
  </si>
  <si>
    <t>H67860</t>
  </si>
  <si>
    <t>H67861</t>
  </si>
  <si>
    <t>H67862</t>
  </si>
  <si>
    <t>H67863</t>
  </si>
  <si>
    <t>H67864</t>
  </si>
  <si>
    <t>H67865</t>
  </si>
  <si>
    <t>H67866</t>
  </si>
  <si>
    <t>H68223</t>
  </si>
  <si>
    <t>H68222</t>
  </si>
  <si>
    <t>H67821</t>
  </si>
  <si>
    <t>H67822</t>
  </si>
  <si>
    <t>H67823</t>
  </si>
  <si>
    <t>H67824</t>
  </si>
  <si>
    <t>H67825</t>
  </si>
  <si>
    <t>H67826</t>
  </si>
  <si>
    <t>H67827</t>
  </si>
  <si>
    <t>H67828</t>
  </si>
  <si>
    <t>H67829</t>
  </si>
  <si>
    <t>H67830</t>
  </si>
  <si>
    <t>H67831</t>
  </si>
  <si>
    <t>H67832</t>
  </si>
  <si>
    <t>H67833</t>
  </si>
  <si>
    <t>H67834</t>
  </si>
  <si>
    <t>H67835</t>
  </si>
  <si>
    <t>H67836</t>
  </si>
  <si>
    <t>H67837</t>
  </si>
  <si>
    <t>H67838</t>
  </si>
  <si>
    <t>H67839</t>
  </si>
  <si>
    <t>H67840</t>
  </si>
  <si>
    <t>H67841</t>
  </si>
  <si>
    <t>H67842</t>
  </si>
  <si>
    <t>H68221</t>
  </si>
  <si>
    <t>H67846</t>
  </si>
  <si>
    <t>H67847</t>
  </si>
  <si>
    <t>H67848</t>
  </si>
  <si>
    <t>H67849</t>
  </si>
  <si>
    <t>H67850</t>
  </si>
  <si>
    <t>H67851</t>
  </si>
  <si>
    <t>H67852</t>
  </si>
  <si>
    <t>H67853</t>
  </si>
  <si>
    <t>H67854</t>
  </si>
  <si>
    <t>H67855</t>
  </si>
  <si>
    <t>H67856</t>
  </si>
  <si>
    <t>H67857</t>
  </si>
  <si>
    <t>H67858</t>
  </si>
  <si>
    <t>H67859</t>
  </si>
  <si>
    <t>H68227</t>
  </si>
  <si>
    <t>H68225</t>
  </si>
  <si>
    <t>H68226</t>
  </si>
  <si>
    <t>H68469</t>
  </si>
  <si>
    <t>H68470</t>
  </si>
  <si>
    <t>H68471</t>
  </si>
  <si>
    <t>H68472</t>
  </si>
  <si>
    <t>H68473</t>
  </si>
  <si>
    <t>H68474</t>
  </si>
  <si>
    <t>H68475</t>
  </si>
  <si>
    <t>H68476</t>
  </si>
  <si>
    <t>H68477</t>
  </si>
  <si>
    <t>H68478</t>
  </si>
  <si>
    <t>POI2300901</t>
  </si>
  <si>
    <t>ERP25UX</t>
  </si>
  <si>
    <t>2423ST-MICHYG</t>
  </si>
  <si>
    <t>POI2300936</t>
  </si>
  <si>
    <t>ERP15UX</t>
  </si>
  <si>
    <t>POI2300937</t>
  </si>
  <si>
    <t>Y-U-04023-A1</t>
  </si>
  <si>
    <t>Y-U-04023-A2</t>
  </si>
  <si>
    <t>Y-U-04023-B</t>
  </si>
  <si>
    <t>ERP30UX</t>
  </si>
  <si>
    <t>Y-U-04023-C</t>
  </si>
  <si>
    <t>2523ST-MICHYG1</t>
  </si>
  <si>
    <t>2523ST-MICHYG2</t>
  </si>
  <si>
    <t>2523ST-MICHYG3</t>
  </si>
  <si>
    <t>POI2300942</t>
  </si>
  <si>
    <t>GP30MX</t>
  </si>
  <si>
    <t>POI2300943</t>
  </si>
  <si>
    <t>976585/001</t>
  </si>
  <si>
    <t>976585/003</t>
  </si>
  <si>
    <t>976585/006</t>
  </si>
  <si>
    <t>976585/008</t>
  </si>
  <si>
    <t>976585/010</t>
  </si>
  <si>
    <t>976585/012</t>
  </si>
  <si>
    <t>J2.0UTT</t>
  </si>
  <si>
    <t>976585/002</t>
  </si>
  <si>
    <t>976585/004</t>
  </si>
  <si>
    <t>976585/007</t>
  </si>
  <si>
    <t>976585/009</t>
  </si>
  <si>
    <t>976585/011</t>
  </si>
  <si>
    <t>976592/001</t>
  </si>
  <si>
    <t>976592/003</t>
  </si>
  <si>
    <t>976592/006</t>
  </si>
  <si>
    <t>976592/007</t>
  </si>
  <si>
    <t>976592/008</t>
  </si>
  <si>
    <t>976592/010</t>
  </si>
  <si>
    <t>976592/011</t>
  </si>
  <si>
    <t>976592/002</t>
  </si>
  <si>
    <t>976592/004</t>
  </si>
  <si>
    <t>976592/009</t>
  </si>
  <si>
    <t>976592/012</t>
  </si>
  <si>
    <t>976585/005</t>
  </si>
  <si>
    <t>976597/001</t>
  </si>
  <si>
    <t>976597/003</t>
  </si>
  <si>
    <t>976597/007</t>
  </si>
  <si>
    <t>976597/010</t>
  </si>
  <si>
    <t>976597/011</t>
  </si>
  <si>
    <t>976597/013</t>
  </si>
  <si>
    <t>976597/015</t>
  </si>
  <si>
    <t>976592/005</t>
  </si>
  <si>
    <t>976597/005</t>
  </si>
  <si>
    <t>976597/006</t>
  </si>
  <si>
    <t>C1597</t>
  </si>
  <si>
    <t>C1599</t>
  </si>
  <si>
    <t>N3118</t>
  </si>
  <si>
    <t>FBR13SZ</t>
  </si>
  <si>
    <t>N3120</t>
  </si>
  <si>
    <t>N3123</t>
  </si>
  <si>
    <t>Supplement 2240</t>
  </si>
  <si>
    <t>PK/6309/23</t>
  </si>
  <si>
    <t>PK/6310/23</t>
  </si>
  <si>
    <t>PK/6311/23</t>
  </si>
  <si>
    <t>PK/6312/23</t>
  </si>
  <si>
    <t>H68519</t>
  </si>
  <si>
    <t>977488/001</t>
  </si>
  <si>
    <t>N35ZR3</t>
  </si>
  <si>
    <t>H68520</t>
  </si>
  <si>
    <t>977488/002</t>
  </si>
  <si>
    <t>R1.6</t>
  </si>
  <si>
    <t>H68521</t>
  </si>
  <si>
    <t>977488/003</t>
  </si>
  <si>
    <t>H68524</t>
  </si>
  <si>
    <t>977488/004</t>
  </si>
  <si>
    <t>H68525</t>
  </si>
  <si>
    <t>977488/005</t>
  </si>
  <si>
    <t>H68522</t>
  </si>
  <si>
    <t>977488/006</t>
  </si>
  <si>
    <t>P2.0UT</t>
  </si>
  <si>
    <t>H68526</t>
  </si>
  <si>
    <t>977488/007</t>
  </si>
  <si>
    <t>H68527</t>
  </si>
  <si>
    <t>977488/008</t>
  </si>
  <si>
    <t>H68523</t>
  </si>
  <si>
    <t>977488/009</t>
  </si>
  <si>
    <t>999605</t>
  </si>
  <si>
    <t>DUMMY MA AUSTRALIA</t>
  </si>
  <si>
    <t>H68518</t>
  </si>
  <si>
    <t>VisyOct23</t>
  </si>
  <si>
    <t>999055</t>
  </si>
  <si>
    <t>UNALLOCATED - YALE AUS</t>
  </si>
  <si>
    <t>H68479</t>
  </si>
  <si>
    <t>102319</t>
  </si>
  <si>
    <t>GP2.5N</t>
  </si>
  <si>
    <t>H68480</t>
  </si>
  <si>
    <t>102320</t>
  </si>
  <si>
    <t>H68481</t>
  </si>
  <si>
    <t>102321</t>
  </si>
  <si>
    <t>H68482</t>
  </si>
  <si>
    <t>102322</t>
  </si>
  <si>
    <t>H68483</t>
  </si>
  <si>
    <t>102323</t>
  </si>
  <si>
    <t>H68608</t>
  </si>
  <si>
    <t>977483/001</t>
  </si>
  <si>
    <t>H68609</t>
  </si>
  <si>
    <t>977483/002</t>
  </si>
  <si>
    <t>H68610</t>
  </si>
  <si>
    <t>977483/003</t>
  </si>
  <si>
    <t>H68611</t>
  </si>
  <si>
    <t>977483/004</t>
  </si>
  <si>
    <t>H68612</t>
  </si>
  <si>
    <t>977483/005</t>
  </si>
  <si>
    <t>H68613</t>
  </si>
  <si>
    <t>977483/006</t>
  </si>
  <si>
    <t>H68614</t>
  </si>
  <si>
    <t>977483/007</t>
  </si>
  <si>
    <t>H68615</t>
  </si>
  <si>
    <t>977483/008</t>
  </si>
  <si>
    <t>H68616</t>
  </si>
  <si>
    <t>977483/009</t>
  </si>
  <si>
    <t>H68617</t>
  </si>
  <si>
    <t>977483/010</t>
  </si>
  <si>
    <t>H68618</t>
  </si>
  <si>
    <t>977483/011</t>
  </si>
  <si>
    <t>H68619</t>
  </si>
  <si>
    <t>977483/012</t>
  </si>
  <si>
    <t>H68620</t>
  </si>
  <si>
    <t>977483/013</t>
  </si>
  <si>
    <t>H68621</t>
  </si>
  <si>
    <t>977483/014</t>
  </si>
  <si>
    <t>H68622</t>
  </si>
  <si>
    <t>977483/015</t>
  </si>
  <si>
    <t>H68623</t>
  </si>
  <si>
    <t>977483/016</t>
  </si>
  <si>
    <t>H68624</t>
  </si>
  <si>
    <t>977483/017</t>
  </si>
  <si>
    <t>H68625</t>
  </si>
  <si>
    <t>977483/018</t>
  </si>
  <si>
    <t>H68626</t>
  </si>
  <si>
    <t>977483/019</t>
  </si>
  <si>
    <t>H68627</t>
  </si>
  <si>
    <t>977483/020</t>
  </si>
  <si>
    <t>H68628</t>
  </si>
  <si>
    <t>977483/021</t>
  </si>
  <si>
    <t>H68629</t>
  </si>
  <si>
    <t>977483/022</t>
  </si>
  <si>
    <t>H68630</t>
  </si>
  <si>
    <t>977483/023</t>
  </si>
  <si>
    <t>H68631</t>
  </si>
  <si>
    <t>977483/024</t>
  </si>
  <si>
    <t>H68632</t>
  </si>
  <si>
    <t>977483/025</t>
  </si>
  <si>
    <t>H68633</t>
  </si>
  <si>
    <t>977483/026</t>
  </si>
  <si>
    <t>H68634</t>
  </si>
  <si>
    <t>977483/027</t>
  </si>
  <si>
    <t>H68635</t>
  </si>
  <si>
    <t>977483/028</t>
  </si>
  <si>
    <t>H68636</t>
  </si>
  <si>
    <t>977483/029</t>
  </si>
  <si>
    <t>H68637</t>
  </si>
  <si>
    <t>977483/030</t>
  </si>
  <si>
    <t>H68597</t>
  </si>
  <si>
    <t>977483/031</t>
  </si>
  <si>
    <t>H68599</t>
  </si>
  <si>
    <t>977483/032</t>
  </si>
  <si>
    <t>H68600</t>
  </si>
  <si>
    <t>977483/033</t>
  </si>
  <si>
    <t>H68601</t>
  </si>
  <si>
    <t>977483/034</t>
  </si>
  <si>
    <t>H68602</t>
  </si>
  <si>
    <t>977483/035</t>
  </si>
  <si>
    <t>H68603</t>
  </si>
  <si>
    <t>977483/036</t>
  </si>
  <si>
    <t>H68604</t>
  </si>
  <si>
    <t>977483/037</t>
  </si>
  <si>
    <t>H68605</t>
  </si>
  <si>
    <t>977483/038</t>
  </si>
  <si>
    <t>H68606</t>
  </si>
  <si>
    <t>977483/039</t>
  </si>
  <si>
    <t>H68607</t>
  </si>
  <si>
    <t>977483/040</t>
  </si>
  <si>
    <t>H68528</t>
  </si>
  <si>
    <t>977497/001</t>
  </si>
  <si>
    <t>H68529</t>
  </si>
  <si>
    <t>977497/002</t>
  </si>
  <si>
    <t>H68530</t>
  </si>
  <si>
    <t>977497/003</t>
  </si>
  <si>
    <t>H68531</t>
  </si>
  <si>
    <t>977497/004</t>
  </si>
  <si>
    <t>H68532</t>
  </si>
  <si>
    <t>977497/005</t>
  </si>
  <si>
    <t>H68533</t>
  </si>
  <si>
    <t>977497/006</t>
  </si>
  <si>
    <t>H68534</t>
  </si>
  <si>
    <t>977497/007</t>
  </si>
  <si>
    <t>H68535</t>
  </si>
  <si>
    <t>977497/008</t>
  </si>
  <si>
    <t>H68536</t>
  </si>
  <si>
    <t>977497/009</t>
  </si>
  <si>
    <t>H68537</t>
  </si>
  <si>
    <t>977497/010</t>
  </si>
  <si>
    <t>H68538</t>
  </si>
  <si>
    <t>977497/011</t>
  </si>
  <si>
    <t>H68539</t>
  </si>
  <si>
    <t>977497/012</t>
  </si>
  <si>
    <t>H68540</t>
  </si>
  <si>
    <t>977497/013</t>
  </si>
  <si>
    <t>H68541</t>
  </si>
  <si>
    <t>977497/014</t>
  </si>
  <si>
    <t>H68542</t>
  </si>
  <si>
    <t>977497/015</t>
  </si>
  <si>
    <t>H68543</t>
  </si>
  <si>
    <t>977497/016</t>
  </si>
  <si>
    <t>H68544</t>
  </si>
  <si>
    <t>977497/017</t>
  </si>
  <si>
    <t>H68545</t>
  </si>
  <si>
    <t>977497/018</t>
  </si>
  <si>
    <t>H68546</t>
  </si>
  <si>
    <t>977497/019</t>
  </si>
  <si>
    <t>H68547</t>
  </si>
  <si>
    <t>977497/020</t>
  </si>
  <si>
    <t>H68548</t>
  </si>
  <si>
    <t>977498/001</t>
  </si>
  <si>
    <t>H68549</t>
  </si>
  <si>
    <t>977498/002</t>
  </si>
  <si>
    <t>H68550</t>
  </si>
  <si>
    <t>977498/003</t>
  </si>
  <si>
    <t>H68551</t>
  </si>
  <si>
    <t>977498/004</t>
  </si>
  <si>
    <t>H68552</t>
  </si>
  <si>
    <t>977498/005</t>
  </si>
  <si>
    <t>H68553</t>
  </si>
  <si>
    <t>977498/006</t>
  </si>
  <si>
    <t>H68554</t>
  </si>
  <si>
    <t>977498/007</t>
  </si>
  <si>
    <t>H68555</t>
  </si>
  <si>
    <t>977498/008</t>
  </si>
  <si>
    <t>H68556</t>
  </si>
  <si>
    <t>977498/009</t>
  </si>
  <si>
    <t>H68557</t>
  </si>
  <si>
    <t>977498/010</t>
  </si>
  <si>
    <t>H68558</t>
  </si>
  <si>
    <t>977498/011</t>
  </si>
  <si>
    <t>H68560</t>
  </si>
  <si>
    <t>977498/012</t>
  </si>
  <si>
    <t>H68562</t>
  </si>
  <si>
    <t>977498/013</t>
  </si>
  <si>
    <t>H68564</t>
  </si>
  <si>
    <t>977498/014</t>
  </si>
  <si>
    <t>H68566</t>
  </si>
  <si>
    <t>977498/015</t>
  </si>
  <si>
    <t>H68568</t>
  </si>
  <si>
    <t>977498/016</t>
  </si>
  <si>
    <t>H68570</t>
  </si>
  <si>
    <t>977498/017</t>
  </si>
  <si>
    <t>H68572</t>
  </si>
  <si>
    <t>977498/018</t>
  </si>
  <si>
    <t>H68574</t>
  </si>
  <si>
    <t>977498/019</t>
  </si>
  <si>
    <t>H68576</t>
  </si>
  <si>
    <t>977498/020</t>
  </si>
  <si>
    <t>H68578</t>
  </si>
  <si>
    <t>977498/021</t>
  </si>
  <si>
    <t>H68580</t>
  </si>
  <si>
    <t>977498/022</t>
  </si>
  <si>
    <t>H68582</t>
  </si>
  <si>
    <t>977498/023</t>
  </si>
  <si>
    <t>H68584</t>
  </si>
  <si>
    <t>977498/024</t>
  </si>
  <si>
    <t>H68586</t>
  </si>
  <si>
    <t>977498/025</t>
  </si>
  <si>
    <t>H68588</t>
  </si>
  <si>
    <t>977498/026</t>
  </si>
  <si>
    <t>H68590</t>
  </si>
  <si>
    <t>977498/027</t>
  </si>
  <si>
    <t>H68592</t>
  </si>
  <si>
    <t>977498/028</t>
  </si>
  <si>
    <t>H68594</t>
  </si>
  <si>
    <t>977498/029</t>
  </si>
  <si>
    <t>H68598</t>
  </si>
  <si>
    <t>977498/030</t>
  </si>
  <si>
    <t>H68559</t>
  </si>
  <si>
    <t>977501/001</t>
  </si>
  <si>
    <t>H68561</t>
  </si>
  <si>
    <t>977501/002</t>
  </si>
  <si>
    <t>H68563</t>
  </si>
  <si>
    <t>977501/003</t>
  </si>
  <si>
    <t>H68565</t>
  </si>
  <si>
    <t>977501/004</t>
  </si>
  <si>
    <t>H68567</t>
  </si>
  <si>
    <t>977501/005</t>
  </si>
  <si>
    <t>H68569</t>
  </si>
  <si>
    <t>977501/006</t>
  </si>
  <si>
    <t>H68571</t>
  </si>
  <si>
    <t>977501/007</t>
  </si>
  <si>
    <t>H68573</t>
  </si>
  <si>
    <t>977501/008</t>
  </si>
  <si>
    <t>H68575</t>
  </si>
  <si>
    <t>977501/009</t>
  </si>
  <si>
    <t>H68577</t>
  </si>
  <si>
    <t>977501/010</t>
  </si>
  <si>
    <t>H68579</t>
  </si>
  <si>
    <t>977501/011</t>
  </si>
  <si>
    <t>H68581</t>
  </si>
  <si>
    <t>977501/012</t>
  </si>
  <si>
    <t>H68583</t>
  </si>
  <si>
    <t>977501/013</t>
  </si>
  <si>
    <t>H68585</t>
  </si>
  <si>
    <t>977501/014</t>
  </si>
  <si>
    <t>H68587</t>
  </si>
  <si>
    <t>977501/015</t>
  </si>
  <si>
    <t>H68589</t>
  </si>
  <si>
    <t>977501/016</t>
  </si>
  <si>
    <t>H68591</t>
  </si>
  <si>
    <t>977501/017</t>
  </si>
  <si>
    <t>H68593</t>
  </si>
  <si>
    <t>977501/018</t>
  </si>
  <si>
    <t>H68595</t>
  </si>
  <si>
    <t>977501/019</t>
  </si>
  <si>
    <t>H68596</t>
  </si>
  <si>
    <t>977501/020</t>
  </si>
  <si>
    <t>084065</t>
  </si>
  <si>
    <t>SOPADEP SA</t>
  </si>
  <si>
    <t>PF</t>
  </si>
  <si>
    <t>H68790</t>
  </si>
  <si>
    <t>HTVI102301</t>
  </si>
  <si>
    <t>F3.5UT4</t>
  </si>
  <si>
    <t>H68792</t>
  </si>
  <si>
    <t>HTVI102302</t>
  </si>
  <si>
    <t>H68638</t>
  </si>
  <si>
    <t>23-24/I00198</t>
  </si>
  <si>
    <t>MSL15WUX</t>
  </si>
  <si>
    <t>204105</t>
  </si>
  <si>
    <t>H68657</t>
  </si>
  <si>
    <t>156/PO-Ulti</t>
  </si>
  <si>
    <t>FBR18WZ</t>
  </si>
  <si>
    <t>H68656</t>
  </si>
  <si>
    <t>H68655</t>
  </si>
  <si>
    <t>H68654</t>
  </si>
  <si>
    <t>H68653</t>
  </si>
  <si>
    <t>H68652</t>
  </si>
  <si>
    <t>H68651</t>
  </si>
  <si>
    <t>H68650</t>
  </si>
  <si>
    <t>H68649</t>
  </si>
  <si>
    <t>H68648</t>
  </si>
  <si>
    <t>H68647</t>
  </si>
  <si>
    <t>H68646</t>
  </si>
  <si>
    <t>MR16 961</t>
  </si>
  <si>
    <t>H68645</t>
  </si>
  <si>
    <t>H68644</t>
  </si>
  <si>
    <t>H68643</t>
  </si>
  <si>
    <t>H68642</t>
  </si>
  <si>
    <t>H68641</t>
  </si>
  <si>
    <t>H68640</t>
  </si>
  <si>
    <t>Supplement 1530</t>
  </si>
  <si>
    <t>H68833</t>
  </si>
  <si>
    <t>8928</t>
  </si>
  <si>
    <t>H1.8XT</t>
  </si>
  <si>
    <t>H68828</t>
  </si>
  <si>
    <t>N3139</t>
  </si>
  <si>
    <t>FB25RZ</t>
  </si>
  <si>
    <t>H68829</t>
  </si>
  <si>
    <t>N3140</t>
  </si>
  <si>
    <t>FB30RZ</t>
  </si>
  <si>
    <t>H68830</t>
  </si>
  <si>
    <t>N3141</t>
  </si>
  <si>
    <t>H68831</t>
  </si>
  <si>
    <t>N3142</t>
  </si>
  <si>
    <t>H68832</t>
  </si>
  <si>
    <t>N3143</t>
  </si>
  <si>
    <t>Supplement 670</t>
  </si>
  <si>
    <t>H68834</t>
  </si>
  <si>
    <t>8924</t>
  </si>
  <si>
    <t>A3B9</t>
  </si>
  <si>
    <t>F5.0UT</t>
  </si>
  <si>
    <t>H68835</t>
  </si>
  <si>
    <t>H68836</t>
  </si>
  <si>
    <t>8922</t>
  </si>
  <si>
    <t>H68837</t>
  </si>
  <si>
    <t>3B9</t>
  </si>
  <si>
    <t>7R9</t>
  </si>
  <si>
    <t>A7R9</t>
  </si>
  <si>
    <t>Supplement 2140</t>
  </si>
  <si>
    <t>H68911</t>
  </si>
  <si>
    <t>TH2023/8731</t>
  </si>
  <si>
    <t>T6.0UT</t>
  </si>
  <si>
    <t>H68912</t>
  </si>
  <si>
    <t>TH2023/8732</t>
  </si>
  <si>
    <t>H68913</t>
  </si>
  <si>
    <t>TH2023/8733</t>
  </si>
  <si>
    <t>H68914</t>
  </si>
  <si>
    <t>TH2023/8734</t>
  </si>
  <si>
    <t>H68878</t>
  </si>
  <si>
    <t>23-24/I00201</t>
  </si>
  <si>
    <t>H68880</t>
  </si>
  <si>
    <t>23-24/I00201-02</t>
  </si>
  <si>
    <t>H68881</t>
  </si>
  <si>
    <t>23-24/I00201-03</t>
  </si>
  <si>
    <t>H68882</t>
  </si>
  <si>
    <t>23-24/I00201-04</t>
  </si>
  <si>
    <t>H68883</t>
  </si>
  <si>
    <t>23-24/I00201-05</t>
  </si>
  <si>
    <t>H68884</t>
  </si>
  <si>
    <t>23-24/I00201-06</t>
  </si>
  <si>
    <t>H68885</t>
  </si>
  <si>
    <t>23-24/I00201-07</t>
  </si>
  <si>
    <t>H68886</t>
  </si>
  <si>
    <t>23-24/I00201-08</t>
  </si>
  <si>
    <t>H68887</t>
  </si>
  <si>
    <t>23-24/I00201-09</t>
  </si>
  <si>
    <t>H68888</t>
  </si>
  <si>
    <t>23-24/I00201-10</t>
  </si>
  <si>
    <t>H68879</t>
  </si>
  <si>
    <t>23-24/I00201-11</t>
  </si>
  <si>
    <t>H68889</t>
  </si>
  <si>
    <t>23-24/I00201-12</t>
  </si>
  <si>
    <t>H68890</t>
  </si>
  <si>
    <t>23-24/I00201-13</t>
  </si>
  <si>
    <t>H68891</t>
  </si>
  <si>
    <t>23-24/I00201-14</t>
  </si>
  <si>
    <t>H68892</t>
  </si>
  <si>
    <t>23-24/I00201-15</t>
  </si>
  <si>
    <t>H68893</t>
  </si>
  <si>
    <t>23-24/I00201-16</t>
  </si>
  <si>
    <t>H68894</t>
  </si>
  <si>
    <t>23-24/I00201-17</t>
  </si>
  <si>
    <t>H68895</t>
  </si>
  <si>
    <t>23-24/I00201-18</t>
  </si>
  <si>
    <t>H68896</t>
  </si>
  <si>
    <t>23-24/I00201-19</t>
  </si>
  <si>
    <t>H68897</t>
  </si>
  <si>
    <t>23-24/I00201-20</t>
  </si>
  <si>
    <t>H68959</t>
  </si>
  <si>
    <t>3030037800-1</t>
  </si>
  <si>
    <t>H68958</t>
  </si>
  <si>
    <t>H68961</t>
  </si>
  <si>
    <t>3030037800-3</t>
  </si>
  <si>
    <t>H68960</t>
  </si>
  <si>
    <t>H68907</t>
  </si>
  <si>
    <t>HY-23H009</t>
  </si>
  <si>
    <t>H68908</t>
  </si>
  <si>
    <t>HY-23H010</t>
  </si>
  <si>
    <t>H69186</t>
  </si>
  <si>
    <t>977839/001</t>
  </si>
  <si>
    <t>H32XD12</t>
  </si>
  <si>
    <t>H69240</t>
  </si>
  <si>
    <t>977959/001</t>
  </si>
  <si>
    <t>H2.0XTS</t>
  </si>
  <si>
    <t>H69242</t>
  </si>
  <si>
    <t>977959/002</t>
  </si>
  <si>
    <t>H69243</t>
  </si>
  <si>
    <t>977959/003</t>
  </si>
  <si>
    <t>H69244</t>
  </si>
  <si>
    <t>977959/004</t>
  </si>
  <si>
    <t>H69197</t>
  </si>
  <si>
    <t>977920/001</t>
  </si>
  <si>
    <t>H69199</t>
  </si>
  <si>
    <t>977920/002</t>
  </si>
  <si>
    <t>H69202</t>
  </si>
  <si>
    <t>977920/003</t>
  </si>
  <si>
    <t>H69204</t>
  </si>
  <si>
    <t>977920/004</t>
  </si>
  <si>
    <t>H69205</t>
  </si>
  <si>
    <t>977920/005</t>
  </si>
  <si>
    <t>H69206</t>
  </si>
  <si>
    <t>977920/006</t>
  </si>
  <si>
    <t>H69207</t>
  </si>
  <si>
    <t>977920/007</t>
  </si>
  <si>
    <t>H69208</t>
  </si>
  <si>
    <t>977920/008</t>
  </si>
  <si>
    <t>H69209</t>
  </si>
  <si>
    <t>977920/009</t>
  </si>
  <si>
    <t>H69210</t>
  </si>
  <si>
    <t>977920/010</t>
  </si>
  <si>
    <t>H69211</t>
  </si>
  <si>
    <t>977920/011</t>
  </si>
  <si>
    <t>H69212</t>
  </si>
  <si>
    <t>977920/012</t>
  </si>
  <si>
    <t>H69213</t>
  </si>
  <si>
    <t>977920/013</t>
  </si>
  <si>
    <t>H69214</t>
  </si>
  <si>
    <t>977920/014</t>
  </si>
  <si>
    <t>H69215</t>
  </si>
  <si>
    <t>977920/015</t>
  </si>
  <si>
    <t>H69216</t>
  </si>
  <si>
    <t>977920/016</t>
  </si>
  <si>
    <t>H69217</t>
  </si>
  <si>
    <t>977920/017</t>
  </si>
  <si>
    <t>H69218</t>
  </si>
  <si>
    <t>977920/018</t>
  </si>
  <si>
    <t>H69219</t>
  </si>
  <si>
    <t>977920/019</t>
  </si>
  <si>
    <t>H69220</t>
  </si>
  <si>
    <t>977920/020</t>
  </si>
  <si>
    <t>H69221</t>
  </si>
  <si>
    <t>977920/021</t>
  </si>
  <si>
    <t>H69222</t>
  </si>
  <si>
    <t>977920/022</t>
  </si>
  <si>
    <t>H69223</t>
  </si>
  <si>
    <t>977920/023</t>
  </si>
  <si>
    <t>H69224</t>
  </si>
  <si>
    <t>977920/024</t>
  </si>
  <si>
    <t>H69225</t>
  </si>
  <si>
    <t>977920/025</t>
  </si>
  <si>
    <t>H69226</t>
  </si>
  <si>
    <t>977920/026</t>
  </si>
  <si>
    <t>H69227</t>
  </si>
  <si>
    <t>977920/027</t>
  </si>
  <si>
    <t>H69228</t>
  </si>
  <si>
    <t>977920/028</t>
  </si>
  <si>
    <t>H69229</t>
  </si>
  <si>
    <t>977920/029</t>
  </si>
  <si>
    <t>H69230</t>
  </si>
  <si>
    <t>977920/030</t>
  </si>
  <si>
    <t>H69233</t>
  </si>
  <si>
    <t>977920/031</t>
  </si>
  <si>
    <t>H69232</t>
  </si>
  <si>
    <t>H69237</t>
  </si>
  <si>
    <t>977920/032</t>
  </si>
  <si>
    <t>H69238</t>
  </si>
  <si>
    <t>977920/033</t>
  </si>
  <si>
    <t>H69231</t>
  </si>
  <si>
    <t>977920/035</t>
  </si>
  <si>
    <t>H155FT</t>
  </si>
  <si>
    <t>H69235</t>
  </si>
  <si>
    <t>977920/036</t>
  </si>
  <si>
    <t>H69236</t>
  </si>
  <si>
    <t>977920/037</t>
  </si>
  <si>
    <t>H69234</t>
  </si>
  <si>
    <t>977920/038</t>
  </si>
  <si>
    <t>H190FT</t>
  </si>
  <si>
    <t>H69193</t>
  </si>
  <si>
    <t>52494</t>
  </si>
  <si>
    <t>H69194</t>
  </si>
  <si>
    <t>52495</t>
  </si>
  <si>
    <t>H69254</t>
  </si>
  <si>
    <t>977958/001</t>
  </si>
  <si>
    <t>H69255</t>
  </si>
  <si>
    <t>977958/002</t>
  </si>
  <si>
    <t>H69256</t>
  </si>
  <si>
    <t>977958/003</t>
  </si>
  <si>
    <t>H69257</t>
  </si>
  <si>
    <t>977958/004</t>
  </si>
  <si>
    <t>H69258</t>
  </si>
  <si>
    <t>977958/005</t>
  </si>
  <si>
    <t>H70484</t>
  </si>
  <si>
    <t>978029/001</t>
  </si>
  <si>
    <t>MR16</t>
  </si>
  <si>
    <t>H70486</t>
  </si>
  <si>
    <t>978029/002</t>
  </si>
  <si>
    <t>H70539</t>
  </si>
  <si>
    <t>978033/001</t>
  </si>
  <si>
    <t>H70778</t>
  </si>
  <si>
    <t>8918 8919 8920 8921</t>
  </si>
  <si>
    <t>H70779</t>
  </si>
  <si>
    <t>8919</t>
  </si>
  <si>
    <t>H70781</t>
  </si>
  <si>
    <t>8920</t>
  </si>
  <si>
    <t>H70780</t>
  </si>
  <si>
    <t>8921</t>
  </si>
  <si>
    <t>H69249</t>
  </si>
  <si>
    <t>23-24/I00202</t>
  </si>
  <si>
    <t>H69252</t>
  </si>
  <si>
    <t>23-24/I00202-02</t>
  </si>
  <si>
    <t>H69314</t>
  </si>
  <si>
    <t>ID2023/1781</t>
  </si>
  <si>
    <t>H69317</t>
  </si>
  <si>
    <t>ID2023/1783</t>
  </si>
  <si>
    <t>H69318</t>
  </si>
  <si>
    <t>ID2023/1784</t>
  </si>
  <si>
    <t>H69319</t>
  </si>
  <si>
    <t>ID2023/1785</t>
  </si>
  <si>
    <t>H69320</t>
  </si>
  <si>
    <t>ID2023/1786</t>
  </si>
  <si>
    <t>H69321</t>
  </si>
  <si>
    <t>ID2023/1787</t>
  </si>
  <si>
    <t>H69322</t>
  </si>
  <si>
    <t>ID2023/1788</t>
  </si>
  <si>
    <t>H69323</t>
  </si>
  <si>
    <t>ID2023/1789</t>
  </si>
  <si>
    <t>H69324</t>
  </si>
  <si>
    <t>ID2023/1801</t>
  </si>
  <si>
    <t>H69325</t>
  </si>
  <si>
    <t>ID2023/1802</t>
  </si>
  <si>
    <t>H69326</t>
  </si>
  <si>
    <t>ID2023/1803</t>
  </si>
  <si>
    <t>H69327</t>
  </si>
  <si>
    <t>ID2023/1804</t>
  </si>
  <si>
    <t>H69259</t>
  </si>
  <si>
    <t>23-24/I00204</t>
  </si>
  <si>
    <t>H69260</t>
  </si>
  <si>
    <t>23-24/I00204-02</t>
  </si>
  <si>
    <t>H69261</t>
  </si>
  <si>
    <t>23-24/I00204-03</t>
  </si>
  <si>
    <t>H69262</t>
  </si>
  <si>
    <t>23-24/I00204-04</t>
  </si>
  <si>
    <t>H69263</t>
  </si>
  <si>
    <t>23-24/I00204-05</t>
  </si>
  <si>
    <t>H69301</t>
  </si>
  <si>
    <t>23-24/I00205</t>
  </si>
  <si>
    <t>MS15XUX</t>
  </si>
  <si>
    <t>H69302</t>
  </si>
  <si>
    <t>23-24/I00205-02</t>
  </si>
  <si>
    <t>H69303</t>
  </si>
  <si>
    <t>23-24/I00205-03</t>
  </si>
  <si>
    <t>H69304</t>
  </si>
  <si>
    <t>23-24/I00205-04</t>
  </si>
  <si>
    <t>H69305</t>
  </si>
  <si>
    <t>23-24/I00205-05</t>
  </si>
  <si>
    <t>H69306</t>
  </si>
  <si>
    <t>23-24/I00205-06</t>
  </si>
  <si>
    <t>H69307</t>
  </si>
  <si>
    <t>23-24/I00206</t>
  </si>
  <si>
    <t>H69308</t>
  </si>
  <si>
    <t>23-24/I00206-02</t>
  </si>
  <si>
    <t>H69309</t>
  </si>
  <si>
    <t>23-24/I00206-03</t>
  </si>
  <si>
    <t>H69310</t>
  </si>
  <si>
    <t>23-24/I00206-04</t>
  </si>
  <si>
    <t>H69312</t>
  </si>
  <si>
    <t>23-24/I00207</t>
  </si>
  <si>
    <t>H69313</t>
  </si>
  <si>
    <t>23-24/I00207-02</t>
  </si>
  <si>
    <t>H69253</t>
  </si>
  <si>
    <t>POI2300957</t>
  </si>
  <si>
    <t>Supplement 5440</t>
  </si>
  <si>
    <t>BM no cost 2023-1015256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</si>
</sst>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&quot;$&quot;* #,##0_-;\-&quot;$&quot;* #,##0_-;_-&quot;$&quot;* &quot;-&quot;??_-;_-@_-"/>
    <numFmt numFmtId="167" formatCode="0.0000"/>
    <numFmt numFmtId="168" formatCode="_-[$$-409]* #,##0.00_ ;_-[$$-409]* \-#,##0.00\ ;_-[$$-409]* &quot;-&quot;??_ ;_-@_ "/>
    <numFmt numFmtId="169" formatCode="_-&quot;$&quot;* #,##0.000_-;\-&quot;$&quot;* #,##0.000_-;_-&quot;$&quot;* &quot;-&quot;??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rgb="FF9C57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95B3D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13" applyNumberFormat="0" applyAlignment="0" applyProtection="0"/>
    <xf numFmtId="0" fontId="21" fillId="11" borderId="14" applyNumberFormat="0" applyAlignment="0" applyProtection="0"/>
    <xf numFmtId="0" fontId="22" fillId="11" borderId="13" applyNumberFormat="0" applyAlignment="0" applyProtection="0"/>
    <xf numFmtId="0" fontId="23" fillId="0" borderId="15" applyNumberFormat="0" applyFill="0" applyAlignment="0" applyProtection="0"/>
    <xf numFmtId="0" fontId="24" fillId="12" borderId="16" applyNumberFormat="0" applyAlignment="0" applyProtection="0"/>
    <xf numFmtId="0" fontId="7" fillId="0" borderId="0" applyNumberFormat="0" applyFill="0" applyBorder="0" applyAlignment="0" applyProtection="0"/>
    <xf numFmtId="0" fontId="1" fillId="13" borderId="17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8" applyNumberFormat="0" applyFill="0" applyAlignment="0" applyProtection="0"/>
    <xf numFmtId="0" fontId="2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7" fillId="0" borderId="0"/>
  </cellStyleXfs>
  <cellXfs count="1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9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6" borderId="5" xfId="0" applyNumberFormat="1" applyFont="1" applyFill="1" applyBorder="1" applyAlignment="1">
      <alignment horizontal="left" vertical="center"/>
    </xf>
    <xf numFmtId="14" fontId="3" fillId="6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10" fontId="3" fillId="0" borderId="0" xfId="1" applyNumberFormat="1" applyFont="1" applyFill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3" fontId="3" fillId="3" borderId="0" xfId="2" applyNumberFormat="1" applyFont="1" applyFill="1" applyAlignment="1">
      <alignment horizontal="left" vertical="center"/>
    </xf>
    <xf numFmtId="164" fontId="3" fillId="4" borderId="0" xfId="2" applyNumberFormat="1" applyFont="1" applyFill="1" applyAlignment="1">
      <alignment horizontal="left" vertical="center"/>
    </xf>
    <xf numFmtId="14" fontId="3" fillId="6" borderId="0" xfId="0" applyNumberFormat="1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6" fontId="3" fillId="0" borderId="0" xfId="4" applyNumberFormat="1" applyFont="1" applyFill="1" applyBorder="1" applyAlignment="1">
      <alignment horizontal="left" vertical="center"/>
    </xf>
    <xf numFmtId="166" fontId="3" fillId="0" borderId="0" xfId="4" applyNumberFormat="1" applyFont="1" applyBorder="1" applyAlignment="1">
      <alignment horizontal="left" vertical="center"/>
    </xf>
    <xf numFmtId="166" fontId="3" fillId="0" borderId="0" xfId="4" applyNumberFormat="1" applyFont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10" fontId="3" fillId="6" borderId="0" xfId="1" applyNumberFormat="1" applyFont="1" applyFill="1" applyAlignment="1">
      <alignment horizontal="left" vertical="center"/>
    </xf>
    <xf numFmtId="165" fontId="3" fillId="6" borderId="0" xfId="1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28" fillId="0" borderId="0" xfId="0" applyFont="1" applyFill="1"/>
    <xf numFmtId="0" fontId="3" fillId="0" borderId="19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3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2" fillId="39" borderId="20" xfId="0" applyFont="1" applyFill="1" applyBorder="1" applyAlignment="1">
      <alignment vertical="center"/>
    </xf>
    <xf numFmtId="0" fontId="33" fillId="0" borderId="0" xfId="0" applyFont="1" applyAlignment="1">
      <alignment vertical="center"/>
    </xf>
    <xf numFmtId="10" fontId="3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9" fontId="3" fillId="0" borderId="26" xfId="0" applyNumberFormat="1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9" fontId="3" fillId="0" borderId="30" xfId="0" applyNumberFormat="1" applyFont="1" applyBorder="1" applyAlignment="1">
      <alignment horizontal="left" vertical="center"/>
    </xf>
    <xf numFmtId="167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0" fontId="6" fillId="38" borderId="0" xfId="1" applyNumberFormat="1" applyFont="1" applyFill="1" applyAlignment="1">
      <alignment horizontal="right" vertical="center"/>
    </xf>
    <xf numFmtId="10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9" fillId="0" borderId="0" xfId="13" applyFill="1"/>
    <xf numFmtId="168" fontId="3" fillId="0" borderId="0" xfId="0" applyNumberFormat="1" applyFont="1" applyAlignment="1">
      <alignment horizontal="center" vertical="center"/>
    </xf>
    <xf numFmtId="168" fontId="3" fillId="0" borderId="0" xfId="0" applyNumberFormat="1" applyFont="1" applyFill="1" applyAlignment="1">
      <alignment horizontal="right" vertical="center"/>
    </xf>
    <xf numFmtId="168" fontId="3" fillId="0" borderId="0" xfId="0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4" fontId="29" fillId="6" borderId="21" xfId="0" applyNumberFormat="1" applyFont="1" applyFill="1" applyBorder="1" applyAlignment="1">
      <alignment horizontal="center" vertical="center" wrapText="1"/>
    </xf>
    <xf numFmtId="0" fontId="29" fillId="6" borderId="22" xfId="0" applyFont="1" applyFill="1" applyBorder="1" applyAlignment="1">
      <alignment horizontal="center" vertical="center" wrapText="1"/>
    </xf>
    <xf numFmtId="0" fontId="29" fillId="6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166" fontId="29" fillId="2" borderId="22" xfId="4" applyNumberFormat="1" applyFont="1" applyFill="1" applyBorder="1" applyAlignment="1">
      <alignment horizontal="center" vertical="center" wrapText="1"/>
    </xf>
    <xf numFmtId="166" fontId="29" fillId="2" borderId="32" xfId="4" applyNumberFormat="1" applyFont="1" applyFill="1" applyBorder="1" applyAlignment="1">
      <alignment horizontal="center" vertical="center" wrapText="1"/>
    </xf>
    <xf numFmtId="165" fontId="29" fillId="2" borderId="34" xfId="1" applyNumberFormat="1" applyFont="1" applyFill="1" applyBorder="1" applyAlignment="1">
      <alignment horizontal="center" vertical="center" wrapText="1"/>
    </xf>
    <xf numFmtId="165" fontId="29" fillId="6" borderId="34" xfId="1" applyNumberFormat="1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left" vertical="center" wrapText="1"/>
    </xf>
    <xf numFmtId="0" fontId="29" fillId="3" borderId="22" xfId="0" applyFont="1" applyFill="1" applyBorder="1" applyAlignment="1">
      <alignment horizontal="left" vertical="center" wrapText="1"/>
    </xf>
    <xf numFmtId="0" fontId="29" fillId="4" borderId="22" xfId="0" applyFont="1" applyFill="1" applyBorder="1" applyAlignment="1">
      <alignment horizontal="left" vertical="center" wrapText="1"/>
    </xf>
    <xf numFmtId="166" fontId="29" fillId="0" borderId="22" xfId="4" applyNumberFormat="1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29" fillId="0" borderId="22" xfId="0" applyFont="1" applyBorder="1" applyAlignment="1">
      <alignment horizontal="center" vertical="center" wrapText="1"/>
    </xf>
    <xf numFmtId="10" fontId="29" fillId="0" borderId="22" xfId="1" applyNumberFormat="1" applyFont="1" applyBorder="1" applyAlignment="1">
      <alignment horizontal="center" vertical="center" wrapText="1"/>
    </xf>
    <xf numFmtId="10" fontId="29" fillId="0" borderId="22" xfId="0" applyNumberFormat="1" applyFont="1" applyBorder="1" applyAlignment="1">
      <alignment horizontal="center" vertical="center" wrapText="1"/>
    </xf>
    <xf numFmtId="0" fontId="7" fillId="0" borderId="0" xfId="0" applyFont="1" applyFill="1"/>
    <xf numFmtId="0" fontId="0" fillId="0" borderId="6" xfId="0" applyFill="1" applyBorder="1"/>
    <xf numFmtId="0" fontId="0" fillId="0" borderId="5" xfId="0" applyFill="1" applyBorder="1"/>
    <xf numFmtId="0" fontId="8" fillId="2" borderId="5" xfId="0" applyFont="1" applyFill="1" applyBorder="1"/>
    <xf numFmtId="0" fontId="8" fillId="2" borderId="0" xfId="0" applyFont="1" applyFill="1" applyBorder="1"/>
    <xf numFmtId="0" fontId="8" fillId="2" borderId="6" xfId="0" applyFont="1" applyFill="1" applyBorder="1"/>
    <xf numFmtId="168" fontId="34" fillId="0" borderId="22" xfId="0" applyNumberFormat="1" applyFont="1" applyBorder="1" applyAlignment="1">
      <alignment horizontal="center" vertical="center" wrapText="1"/>
    </xf>
    <xf numFmtId="166" fontId="6" fillId="0" borderId="0" xfId="4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  <xf numFmtId="165" fontId="6" fillId="0" borderId="0" xfId="1" applyNumberFormat="1" applyFont="1" applyFill="1" applyAlignment="1">
      <alignment vertical="center"/>
    </xf>
    <xf numFmtId="2" fontId="27" fillId="0" borderId="1" xfId="0" applyNumberFormat="1" applyFont="1" applyBorder="1" applyAlignment="1">
      <alignment horizontal="right" vertical="center"/>
    </xf>
    <xf numFmtId="44" fontId="3" fillId="0" borderId="0" xfId="4" applyFont="1" applyAlignment="1">
      <alignment horizontal="center" vertical="center"/>
    </xf>
    <xf numFmtId="44" fontId="3" fillId="2" borderId="0" xfId="4" applyFont="1" applyFill="1" applyAlignment="1">
      <alignment horizontal="left" vertical="center"/>
    </xf>
    <xf numFmtId="44" fontId="3" fillId="0" borderId="0" xfId="4" applyFont="1" applyFill="1" applyAlignment="1">
      <alignment horizontal="right" vertical="center"/>
    </xf>
    <xf numFmtId="44" fontId="29" fillId="6" borderId="22" xfId="4" applyFont="1" applyFill="1" applyBorder="1" applyAlignment="1">
      <alignment horizontal="center" vertical="center" wrapText="1"/>
    </xf>
    <xf numFmtId="44" fontId="3" fillId="0" borderId="0" xfId="4" applyNumberFormat="1" applyFont="1" applyAlignment="1">
      <alignment horizontal="center" vertical="center"/>
    </xf>
    <xf numFmtId="44" fontId="29" fillId="41" borderId="22" xfId="4" applyNumberFormat="1" applyFont="1" applyFill="1" applyBorder="1" applyAlignment="1">
      <alignment horizontal="center" vertical="center" wrapText="1"/>
    </xf>
    <xf numFmtId="44" fontId="3" fillId="0" borderId="0" xfId="4" applyNumberFormat="1" applyFont="1" applyFill="1" applyAlignment="1">
      <alignment horizontal="right" vertical="center"/>
    </xf>
    <xf numFmtId="0" fontId="0" fillId="0" borderId="0" xfId="0" applyBorder="1"/>
    <xf numFmtId="0" fontId="29" fillId="40" borderId="24" xfId="0" applyFont="1" applyFill="1" applyBorder="1" applyAlignment="1">
      <alignment horizontal="center" vertical="center" wrapText="1"/>
    </xf>
    <xf numFmtId="2" fontId="27" fillId="0" borderId="1" xfId="0" applyNumberFormat="1" applyFont="1" applyFill="1" applyBorder="1" applyAlignment="1">
      <alignment horizontal="right" vertical="center"/>
    </xf>
    <xf numFmtId="44" fontId="0" fillId="0" borderId="0" xfId="0" applyNumberFormat="1"/>
    <xf numFmtId="0" fontId="32" fillId="42" borderId="35" xfId="0" applyFont="1" applyFill="1" applyBorder="1" applyAlignment="1">
      <alignment horizontal="center" vertical="center" wrapText="1"/>
    </xf>
    <xf numFmtId="0" fontId="9" fillId="42" borderId="36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1" fillId="9" borderId="23" xfId="13" applyNumberFormat="1" applyFont="1" applyBorder="1" applyAlignment="1">
      <alignment horizontal="center" vertical="center" wrapText="1"/>
    </xf>
    <xf numFmtId="0" fontId="3" fillId="0" borderId="19" xfId="1" applyNumberFormat="1" applyFont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9" fontId="3" fillId="0" borderId="0" xfId="1" applyFont="1" applyFill="1" applyBorder="1" applyAlignment="1">
      <alignment horizontal="left" vertical="center"/>
    </xf>
    <xf numFmtId="169" fontId="3" fillId="0" borderId="0" xfId="4" applyNumberFormat="1" applyFont="1" applyFill="1" applyBorder="1" applyAlignment="1">
      <alignment horizontal="left" vertical="center"/>
    </xf>
    <xf numFmtId="10" fontId="10" fillId="0" borderId="0" xfId="0" applyNumberFormat="1" applyFont="1" applyAlignment="1">
      <alignment horizontal="right" vertical="center"/>
    </xf>
    <xf numFmtId="167" fontId="0" fillId="0" borderId="0" xfId="0" applyNumberFormat="1"/>
    <xf numFmtId="0" fontId="0" fillId="0" borderId="0" xfId="0" quotePrefix="1"/>
    <xf numFmtId="0" fontId="0" fillId="43" borderId="0" xfId="0" applyFill="1" applyAlignment="1">
      <alignment horizontal="left" vertical="center"/>
    </xf>
    <xf numFmtId="0" fontId="0" fillId="44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3" borderId="0" xfId="0" quotePrefix="1" applyFill="1" applyAlignment="1">
      <alignment horizontal="left" vertical="center"/>
    </xf>
    <xf numFmtId="0" fontId="38" fillId="45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39" fillId="0" borderId="0" xfId="0" applyFont="1"/>
    <xf numFmtId="0" fontId="35" fillId="6" borderId="22" xfId="0" applyFont="1" applyFill="1" applyBorder="1" applyAlignment="1">
      <alignment horizontal="center" vertical="center" wrapText="1"/>
    </xf>
    <xf numFmtId="0" fontId="39" fillId="0" borderId="0" xfId="47" applyFont="1"/>
    <xf numFmtId="0" fontId="39" fillId="0" borderId="0" xfId="0" applyFont="1" applyFill="1"/>
    <xf numFmtId="0" fontId="40" fillId="0" borderId="0" xfId="0" applyFont="1"/>
    <xf numFmtId="17" fontId="0" fillId="0" borderId="0" xfId="0" applyNumberFormat="1"/>
    <xf numFmtId="10" fontId="28" fillId="0" borderId="1" xfId="0" applyNumberFormat="1" applyFont="1" applyBorder="1" applyAlignment="1">
      <alignment horizontal="center" vertical="center"/>
    </xf>
    <xf numFmtId="0" fontId="28" fillId="0" borderId="0" xfId="0" applyFont="1"/>
    <xf numFmtId="0" fontId="27" fillId="0" borderId="19" xfId="1" applyNumberFormat="1" applyFont="1" applyBorder="1" applyAlignment="1">
      <alignment horizontal="left" vertical="center"/>
    </xf>
    <xf numFmtId="0" fontId="6" fillId="0" borderId="19" xfId="1" applyNumberFormat="1" applyFont="1" applyBorder="1" applyAlignment="1">
      <alignment horizontal="left" vertical="center"/>
    </xf>
    <xf numFmtId="0" fontId="41" fillId="0" borderId="0" xfId="0" applyFont="1"/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  <xf numFmtId="0" fontId="27" fillId="6" borderId="0" xfId="0" applyFont="1" applyFill="1" applyBorder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0" fontId="27" fillId="2" borderId="19" xfId="1" applyNumberFormat="1" applyFont="1" applyFill="1" applyBorder="1" applyAlignment="1">
      <alignment horizontal="left" vertical="center"/>
    </xf>
    <xf numFmtId="14" fontId="12" fillId="6" borderId="2" xfId="0" applyNumberFormat="1" applyFont="1" applyFill="1" applyBorder="1" applyAlignment="1">
      <alignment horizontal="center" vertical="center"/>
    </xf>
    <xf numFmtId="14" fontId="12" fillId="6" borderId="3" xfId="0" applyNumberFormat="1" applyFont="1" applyFill="1" applyBorder="1" applyAlignment="1">
      <alignment horizontal="center" vertical="center"/>
    </xf>
    <xf numFmtId="14" fontId="12" fillId="6" borderId="4" xfId="0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14" fontId="12" fillId="0" borderId="4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9" fillId="4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2" builtinId="3"/>
    <cellStyle name="Currency" xfId="4" builtinId="4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3" xr:uid="{00000000-0005-0000-0000-000002000000}"/>
    <cellStyle name="Normal 3" xfId="47" xr:uid="{ACC46BCF-5618-4193-A1D9-BE25194D2F66}"/>
    <cellStyle name="Normal 3 2" xfId="5" xr:uid="{80213BB2-694D-42BF-842B-9F0A5D7FC8CD}"/>
    <cellStyle name="Note" xfId="20" builtinId="10" customBuiltin="1"/>
    <cellStyle name="Output" xfId="15" builtinId="21" customBuiltin="1"/>
    <cellStyle name="Percent" xfId="1" builtinId="5"/>
    <cellStyle name="Title" xfId="6" builtinId="15" customBuiltin="1"/>
    <cellStyle name="Total" xfId="22" builtinId="25" customBuiltin="1"/>
    <cellStyle name="Warning Text" xfId="19" builtinId="11" customBuiltin="1"/>
  </cellStyles>
  <dxfs count="1">
    <dxf>
      <font>
        <b/>
        <i val="0"/>
        <color rgb="FFFF0000"/>
      </font>
    </dxf>
  </dxfs>
  <tableStyles count="0" defaultTableStyle="TableStyleMedium2" defaultPivotStyle="PivotStyleMedium9"/>
  <colors>
    <mruColors>
      <color rgb="FFFF6600"/>
      <color rgb="FF99FF66"/>
      <color rgb="FFFF9933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A1C8-6798-47C7-BC7E-9149BC36FC7C}">
  <sheetPr codeName="Sheet1">
    <tabColor rgb="FF00B0F0"/>
  </sheetPr>
  <dimension ref="A1:AQ596"/>
  <sheetViews>
    <sheetView tabSelected="1" zoomScaleNormal="100" workbookViewId="0">
      <pane ySplit="2" topLeftCell="A3" activePane="bottomLeft" state="frozen"/>
      <selection activeCell="K2" sqref="K2"/>
      <selection pane="bottomLeft" activeCell="A3" sqref="A3"/>
    </sheetView>
  </sheetViews>
  <sheetFormatPr defaultColWidth="9" defaultRowHeight="12.75"/>
  <cols>
    <col min="1" max="1" width="10.42578125" style="19" customWidth="1"/>
    <col min="2" max="3" width="10.42578125" style="20" customWidth="1"/>
    <col min="4" max="4" width="10.140625" style="20" customWidth="1"/>
    <col min="5" max="5" width="23.7109375" style="20" customWidth="1"/>
    <col min="6" max="6" width="12.42578125" style="24" customWidth="1"/>
    <col min="7" max="7" width="10" style="12" customWidth="1"/>
    <col min="8" max="8" width="13.28515625" style="12" bestFit="1" customWidth="1"/>
    <col min="9" max="9" width="9" style="12" customWidth="1"/>
    <col min="10" max="10" width="9" style="13" customWidth="1"/>
    <col min="11" max="11" width="5.85546875" style="73" customWidth="1"/>
    <col min="12" max="12" width="13.140625" style="21" bestFit="1" customWidth="1"/>
    <col min="13" max="13" width="13.7109375" style="22" customWidth="1"/>
    <col min="14" max="14" width="12.5703125" style="99" customWidth="1"/>
    <col min="15" max="15" width="12.28515625" style="26" customWidth="1"/>
    <col min="16" max="16" width="11" style="8" hidden="1" customWidth="1"/>
    <col min="17" max="17" width="9.28515625" style="8" hidden="1" customWidth="1"/>
    <col min="18" max="18" width="9.42578125" style="8" hidden="1" customWidth="1"/>
    <col min="19" max="19" width="11" style="8" hidden="1" customWidth="1"/>
    <col min="20" max="20" width="8.85546875" style="8" hidden="1" customWidth="1"/>
    <col min="21" max="21" width="11.7109375" style="23" hidden="1" customWidth="1"/>
    <col min="22" max="22" width="1.5703125" style="8" hidden="1" customWidth="1"/>
    <col min="23" max="23" width="7.42578125" style="8" hidden="1" customWidth="1"/>
    <col min="24" max="24" width="11" style="8" hidden="1" customWidth="1"/>
    <col min="25" max="25" width="21.5703125" style="8" hidden="1" customWidth="1"/>
    <col min="26" max="26" width="6.85546875" style="8" hidden="1" customWidth="1"/>
    <col min="27" max="27" width="22.5703125" style="119" bestFit="1" customWidth="1"/>
    <col min="28" max="28" width="12.28515625" style="72" customWidth="1"/>
    <col min="29" max="29" width="11.7109375" style="72" customWidth="1"/>
    <col min="30" max="31" width="10.85546875" style="31" bestFit="1" customWidth="1"/>
    <col min="32" max="32" width="12.7109375" style="31" customWidth="1"/>
    <col min="33" max="33" width="13.140625" style="103" bestFit="1" customWidth="1"/>
    <col min="34" max="34" width="13" style="107" customWidth="1"/>
    <col min="35" max="35" width="11.7109375" style="31" hidden="1" customWidth="1"/>
    <col min="36" max="36" width="11.140625" style="31" hidden="1" customWidth="1"/>
    <col min="37" max="37" width="11.85546875" style="31" hidden="1" customWidth="1"/>
    <col min="38" max="38" width="13.42578125" style="14" hidden="1" customWidth="1"/>
    <col min="39" max="39" width="12.85546875" style="62" hidden="1" customWidth="1"/>
    <col min="40" max="40" width="9" style="64" customWidth="1"/>
    <col min="41" max="16384" width="9" style="8"/>
  </cols>
  <sheetData>
    <row r="1" spans="1:43" s="65" customFormat="1" ht="14.25" customHeight="1">
      <c r="A1" s="149" t="s">
        <v>155</v>
      </c>
      <c r="B1" s="150"/>
      <c r="C1" s="150"/>
      <c r="D1" s="150"/>
      <c r="E1" s="150"/>
      <c r="F1" s="150"/>
      <c r="G1" s="150"/>
      <c r="H1" s="150"/>
      <c r="I1" s="150"/>
      <c r="J1" s="151"/>
      <c r="K1" s="152" t="s">
        <v>159</v>
      </c>
      <c r="L1" s="153"/>
      <c r="M1" s="154"/>
      <c r="N1" s="155" t="s">
        <v>160</v>
      </c>
      <c r="O1" s="156"/>
      <c r="P1" s="8"/>
      <c r="Q1" s="8"/>
      <c r="R1" s="8"/>
      <c r="S1" s="8"/>
      <c r="T1" s="8"/>
      <c r="U1" s="23"/>
      <c r="V1" s="8"/>
      <c r="W1" s="8"/>
      <c r="X1" s="8"/>
      <c r="Y1" s="8"/>
      <c r="Z1" s="8"/>
      <c r="AA1" s="116"/>
      <c r="AB1" s="70" t="s">
        <v>504</v>
      </c>
      <c r="AC1" s="70" t="s">
        <v>505</v>
      </c>
      <c r="AD1" s="157" t="s">
        <v>651</v>
      </c>
      <c r="AE1" s="157"/>
      <c r="AG1" s="101"/>
      <c r="AH1" s="105" t="s">
        <v>614</v>
      </c>
      <c r="AL1" s="66"/>
      <c r="AM1" s="67"/>
      <c r="AN1" s="68"/>
    </row>
    <row r="2" spans="1:43" s="28" customFormat="1" ht="36">
      <c r="A2" s="74" t="s">
        <v>12</v>
      </c>
      <c r="B2" s="75" t="s">
        <v>0</v>
      </c>
      <c r="C2" s="75" t="s">
        <v>163</v>
      </c>
      <c r="D2" s="75" t="s">
        <v>152</v>
      </c>
      <c r="E2" s="75" t="s">
        <v>3</v>
      </c>
      <c r="F2" s="132" t="s">
        <v>150</v>
      </c>
      <c r="G2" s="75" t="s">
        <v>50</v>
      </c>
      <c r="H2" s="75" t="s">
        <v>1</v>
      </c>
      <c r="I2" s="75" t="s">
        <v>156</v>
      </c>
      <c r="J2" s="76" t="s">
        <v>158</v>
      </c>
      <c r="K2" s="77" t="s">
        <v>153</v>
      </c>
      <c r="L2" s="78" t="s">
        <v>161</v>
      </c>
      <c r="M2" s="79" t="s">
        <v>13</v>
      </c>
      <c r="N2" s="80" t="s">
        <v>162</v>
      </c>
      <c r="O2" s="81" t="s">
        <v>11</v>
      </c>
      <c r="P2" s="82" t="s">
        <v>2</v>
      </c>
      <c r="Q2" s="82" t="s">
        <v>7</v>
      </c>
      <c r="R2" s="83" t="s">
        <v>9</v>
      </c>
      <c r="S2" s="83" t="s">
        <v>14</v>
      </c>
      <c r="T2" s="84" t="s">
        <v>300</v>
      </c>
      <c r="U2" s="85" t="s">
        <v>301</v>
      </c>
      <c r="V2" s="82"/>
      <c r="W2" s="82" t="s">
        <v>156</v>
      </c>
      <c r="X2" s="86" t="s">
        <v>31</v>
      </c>
      <c r="Y2" s="82" t="s">
        <v>167</v>
      </c>
      <c r="Z2" s="82" t="s">
        <v>5</v>
      </c>
      <c r="AA2" s="117" t="s">
        <v>507</v>
      </c>
      <c r="AB2" s="96" t="s">
        <v>506</v>
      </c>
      <c r="AC2" s="96" t="s">
        <v>629</v>
      </c>
      <c r="AD2" s="109" t="s">
        <v>10</v>
      </c>
      <c r="AE2" s="109" t="s">
        <v>503</v>
      </c>
      <c r="AF2" s="87" t="s">
        <v>619</v>
      </c>
      <c r="AG2" s="104" t="s">
        <v>516</v>
      </c>
      <c r="AH2" s="106" t="s">
        <v>517</v>
      </c>
      <c r="AI2" s="87" t="s">
        <v>615</v>
      </c>
      <c r="AJ2" s="87" t="s">
        <v>616</v>
      </c>
      <c r="AK2" s="87" t="s">
        <v>617</v>
      </c>
      <c r="AL2" s="88" t="s">
        <v>618</v>
      </c>
      <c r="AM2" s="87" t="s">
        <v>518</v>
      </c>
      <c r="AN2" s="89" t="s">
        <v>519</v>
      </c>
    </row>
    <row r="3" spans="1:43">
      <c r="A3" s="10" t="str">
        <f>'Input - Bookings'!A3</f>
        <v>10-02</v>
      </c>
      <c r="B3" s="11" t="str">
        <f>'Input - Bookings'!C3</f>
        <v>A</v>
      </c>
      <c r="C3" s="11" t="str">
        <f>'Input - Bookings'!H3</f>
        <v>TH</v>
      </c>
      <c r="D3" s="24" t="str">
        <f>'Input - Bookings'!E3</f>
        <v>065</v>
      </c>
      <c r="E3" s="24" t="str">
        <f>'Input - Bookings'!G3</f>
        <v>DILOK AND SONS CO.,LTD.</v>
      </c>
      <c r="F3" s="146" t="str">
        <f>'Input - Bookings'!I3</f>
        <v>H63830</v>
      </c>
      <c r="G3" s="24" t="str">
        <f>'Input - Bookings'!L3</f>
        <v>A3C4</v>
      </c>
      <c r="H3" s="24" t="str">
        <f>'Input - Bookings'!M3</f>
        <v>J2.5UT</v>
      </c>
      <c r="I3" s="24" t="str">
        <f>'Input - Bookings'!B3</f>
        <v>USD</v>
      </c>
      <c r="J3" s="13" t="str">
        <f>IF(I3="USD",INDEX('AP Plants'!A:A,MATCH(G3,'AP Plants'!D:D,0)),INDEX('Australia Plants'!A:A,MATCH(G3,'Australia Plants'!D:D,0)))</f>
        <v>Maximal</v>
      </c>
      <c r="K3" s="73">
        <v>1</v>
      </c>
      <c r="L3" s="97">
        <v>26702</v>
      </c>
      <c r="M3" s="97">
        <v>18464.899999999998</v>
      </c>
      <c r="N3" s="99">
        <v>0.14709235804062126</v>
      </c>
      <c r="O3" s="25">
        <f>1-M3/L3</f>
        <v>0.30848251067335786</v>
      </c>
      <c r="P3" s="14">
        <f>IFERROR(IF(OR(B3&amp;C3="PAU",B3&amp;C3="AIN"),VLOOKUP(B3&amp;C3&amp;G3,#REF!,8,0),VLOOKUP(B3&amp;G3,#REF!,8,0)),0)</f>
        <v>0</v>
      </c>
      <c r="Q3" s="15">
        <f t="shared" ref="Q3:Q8" si="0">N3-P3</f>
        <v>0.14709235804062126</v>
      </c>
      <c r="R3" s="16" t="str">
        <f t="shared" ref="R3:R8" si="1">IF(Q3&gt;=0%,"AOP",IF(Q3&gt;=-2%,"GM",IF(Q3&gt;=-6%,"MD","VP")))</f>
        <v>AOP</v>
      </c>
      <c r="S3" s="17">
        <f t="shared" ref="S3:S8" si="2">K3*M3*(N3-P3)</f>
        <v>2716.045681984267</v>
      </c>
      <c r="T3" s="18">
        <f t="shared" ref="T3:T8" si="3">IF(I3="USD",S3,S3/$X$6)</f>
        <v>2716.045681984267</v>
      </c>
      <c r="U3" s="23">
        <f t="shared" ref="U3:U66" si="4">IF(I3="USD",M3,M3/$X$6)</f>
        <v>18464.899999999998</v>
      </c>
      <c r="Y3" s="8" t="str">
        <f t="shared" ref="Y3:Y8" si="5">B3&amp;C3&amp;F3&amp;H3</f>
        <v>ATHH63830J2.5UT</v>
      </c>
      <c r="Z3" s="8" t="str">
        <f>IF(Y3='Input - Bookings'!Q34,"OK","Check")</f>
        <v>Check</v>
      </c>
      <c r="AA3" s="118"/>
      <c r="AB3" s="103"/>
      <c r="AC3" s="103"/>
      <c r="AD3" s="100">
        <f>15240.0532529566+200</f>
        <v>15440.053252956601</v>
      </c>
      <c r="AE3" s="110"/>
      <c r="AF3" s="31" t="str">
        <f t="array" ref="AF3">_xlfn.XLOOKUP($G3,'AP Plants'!D:D,'AP Plants'!B:B)</f>
        <v>Class 1</v>
      </c>
      <c r="AG3" s="102"/>
      <c r="AH3" s="102">
        <f t="shared" ref="AH3" si="6">AD3</f>
        <v>15440.053252956601</v>
      </c>
      <c r="AI3" s="44">
        <v>1.4999999999999999E-2</v>
      </c>
      <c r="AJ3" s="15">
        <f>_xlfn.XLOOKUP($AF3,Warranty!B:B,Warranty!E:E)</f>
        <v>5.0000000000000001E-3</v>
      </c>
      <c r="AK3" s="8">
        <f>IF($I3="AUD",VLOOKUP(RIGHT('Wk - Margins'!$G3,3),'AU Freight'!C:G,5,0),0)</f>
        <v>0</v>
      </c>
      <c r="AL3" s="15">
        <f t="shared" ref="AL3:AL8" si="7">IF(AND($I3="AUD",$AF3="Class 5 BT"),5%,0%)</f>
        <v>0</v>
      </c>
      <c r="AM3" s="61">
        <f>SUM(AG3:AH3)*(1+AI3+AJ3+AL3)+AK3</f>
        <v>15748.85431801573</v>
      </c>
      <c r="AN3" s="63">
        <f t="shared" ref="AN3:AN8" si="8">1-AM3/M3</f>
        <v>0.14709235804062126</v>
      </c>
      <c r="AQ3" s="147"/>
    </row>
    <row r="4" spans="1:43">
      <c r="A4" s="10" t="str">
        <f>'Input - Bookings'!A4</f>
        <v>10-02</v>
      </c>
      <c r="B4" s="11" t="str">
        <f>'Input - Bookings'!C4</f>
        <v>A</v>
      </c>
      <c r="C4" s="11" t="str">
        <f>'Input - Bookings'!H4</f>
        <v>TH</v>
      </c>
      <c r="D4" s="24" t="str">
        <f>'Input - Bookings'!E4</f>
        <v>065</v>
      </c>
      <c r="E4" s="24" t="str">
        <f>'Input - Bookings'!G4</f>
        <v>DILOK AND SONS CO.,LTD.</v>
      </c>
      <c r="F4" s="146" t="str">
        <f>'Input - Bookings'!I4</f>
        <v>H63831</v>
      </c>
      <c r="G4" s="24" t="str">
        <f>'Input - Bookings'!L4</f>
        <v>A3C4</v>
      </c>
      <c r="H4" s="24" t="str">
        <f>'Input - Bookings'!M4</f>
        <v>J2.5UT</v>
      </c>
      <c r="I4" s="24" t="str">
        <f>'Input - Bookings'!B4</f>
        <v>USD</v>
      </c>
      <c r="J4" s="13" t="str">
        <f>IF(I4="USD",INDEX('AP Plants'!A:A,MATCH(G4,'AP Plants'!D:D,0)),INDEX('Australia Plants'!A:A,MATCH(G4,'Australia Plants'!D:D,0)))</f>
        <v>Maximal</v>
      </c>
      <c r="K4" s="73">
        <v>1</v>
      </c>
      <c r="L4" s="97">
        <v>25442</v>
      </c>
      <c r="M4" s="97">
        <v>17507.3</v>
      </c>
      <c r="N4" s="99">
        <v>0.14171567759520876</v>
      </c>
      <c r="O4" s="25">
        <f t="shared" ref="O4:O8" si="9">1-M4/L4</f>
        <v>0.31187406650420568</v>
      </c>
      <c r="P4" s="14">
        <f>IFERROR(IF(OR(B4&amp;C4="PAU",B4&amp;C4="AIN"),VLOOKUP(B4&amp;C4&amp;G4,#REF!,8,0),VLOOKUP(B4&amp;G4,#REF!,8,0)),0)</f>
        <v>0</v>
      </c>
      <c r="Q4" s="15">
        <f t="shared" si="0"/>
        <v>0.14171567759520876</v>
      </c>
      <c r="R4" s="16" t="str">
        <f t="shared" si="1"/>
        <v>AOP</v>
      </c>
      <c r="S4" s="17">
        <f t="shared" si="2"/>
        <v>2481.0588823625981</v>
      </c>
      <c r="T4" s="18">
        <f t="shared" si="3"/>
        <v>2481.0588823625981</v>
      </c>
      <c r="U4" s="23">
        <f t="shared" si="4"/>
        <v>17507.3</v>
      </c>
      <c r="Y4" s="8" t="str">
        <f t="shared" si="5"/>
        <v>ATHH63831J2.5UT</v>
      </c>
      <c r="Z4" s="8" t="str">
        <f>IF(Y4='Input - Bookings'!Q35,"OK","Check")</f>
        <v>Check</v>
      </c>
      <c r="AA4" s="118"/>
      <c r="AB4" s="103"/>
      <c r="AC4" s="103"/>
      <c r="AD4" s="100">
        <f>14531.6089388602+200</f>
        <v>14731.608938860199</v>
      </c>
      <c r="AE4" s="110"/>
      <c r="AF4" s="31" t="str">
        <f t="array" ref="AF4">_xlfn.XLOOKUP($G4,'AP Plants'!D:D,'AP Plants'!B:B)</f>
        <v>Class 1</v>
      </c>
      <c r="AG4" s="102"/>
      <c r="AH4" s="102">
        <f t="shared" ref="AH4:AH61" si="10">AD4</f>
        <v>14731.608938860199</v>
      </c>
      <c r="AI4" s="44">
        <v>1.4999999999999999E-2</v>
      </c>
      <c r="AJ4" s="15">
        <f>_xlfn.XLOOKUP($AF4,Warranty!B:B,Warranty!E:E)</f>
        <v>5.0000000000000001E-3</v>
      </c>
      <c r="AK4" s="8">
        <f>IF($I4="AUD",VLOOKUP(RIGHT('Wk - Margins'!$G4,3),'AU Freight'!C:G,5,0),0)</f>
        <v>0</v>
      </c>
      <c r="AL4" s="15">
        <f t="shared" si="7"/>
        <v>0</v>
      </c>
      <c r="AM4" s="61">
        <f t="shared" ref="AM4:AM8" si="11">SUM(AG4:AH4)*(1+AI4+AJ4+AL4)+AK4</f>
        <v>15026.241117637401</v>
      </c>
      <c r="AN4" s="63">
        <f t="shared" si="8"/>
        <v>0.14171567759520876</v>
      </c>
      <c r="AQ4" s="147"/>
    </row>
    <row r="5" spans="1:43">
      <c r="A5" s="10" t="str">
        <f>'Input - Bookings'!A5</f>
        <v>10-02</v>
      </c>
      <c r="B5" s="11" t="str">
        <f>'Input - Bookings'!C5</f>
        <v>A</v>
      </c>
      <c r="C5" s="11" t="str">
        <f>'Input - Bookings'!H5</f>
        <v>TH</v>
      </c>
      <c r="D5" s="24" t="str">
        <f>'Input - Bookings'!E5</f>
        <v>065</v>
      </c>
      <c r="E5" s="24" t="str">
        <f>'Input - Bookings'!G5</f>
        <v>DILOK AND SONS CO.,LTD.</v>
      </c>
      <c r="F5" s="146" t="str">
        <f>'Input - Bookings'!I5</f>
        <v>H63833</v>
      </c>
      <c r="G5" s="24" t="str">
        <f>'Input - Bookings'!L5</f>
        <v>A3C4</v>
      </c>
      <c r="H5" s="24" t="str">
        <f>'Input - Bookings'!M5</f>
        <v>J2.5UT</v>
      </c>
      <c r="I5" s="24" t="str">
        <f>'Input - Bookings'!B5</f>
        <v>USD</v>
      </c>
      <c r="J5" s="13" t="str">
        <f>IF(I5="USD",INDEX('AP Plants'!A:A,MATCH(G5,'AP Plants'!D:D,0)),INDEX('Australia Plants'!A:A,MATCH(G5,'Australia Plants'!D:D,0)))</f>
        <v>Maximal</v>
      </c>
      <c r="K5" s="73">
        <v>1</v>
      </c>
      <c r="L5" s="97">
        <v>25442</v>
      </c>
      <c r="M5" s="97">
        <v>17507.3</v>
      </c>
      <c r="N5" s="99">
        <v>0.14171567759520876</v>
      </c>
      <c r="O5" s="25">
        <f t="shared" si="9"/>
        <v>0.31187406650420568</v>
      </c>
      <c r="P5" s="14">
        <f>IFERROR(IF(OR(B5&amp;C5="PAU",B5&amp;C5="AIN"),VLOOKUP(B5&amp;C5&amp;G5,#REF!,8,0),VLOOKUP(B5&amp;G5,#REF!,8,0)),0)</f>
        <v>0</v>
      </c>
      <c r="Q5" s="15">
        <f t="shared" si="0"/>
        <v>0.14171567759520876</v>
      </c>
      <c r="R5" s="16" t="str">
        <f t="shared" si="1"/>
        <v>AOP</v>
      </c>
      <c r="S5" s="17">
        <f t="shared" si="2"/>
        <v>2481.0588823625981</v>
      </c>
      <c r="T5" s="18">
        <f t="shared" si="3"/>
        <v>2481.0588823625981</v>
      </c>
      <c r="U5" s="23">
        <f t="shared" si="4"/>
        <v>17507.3</v>
      </c>
      <c r="Y5" s="8" t="str">
        <f t="shared" si="5"/>
        <v>ATHH63833J2.5UT</v>
      </c>
      <c r="Z5" s="8" t="str">
        <f>IF(Y5='Input - Bookings'!Q13,"OK","Check")</f>
        <v>Check</v>
      </c>
      <c r="AA5" s="139"/>
      <c r="AB5" s="103"/>
      <c r="AC5" s="103"/>
      <c r="AD5" s="100">
        <f t="shared" ref="AD5:AD10" si="12">14531.6089388602+200</f>
        <v>14731.608938860199</v>
      </c>
      <c r="AE5" s="110"/>
      <c r="AF5" s="31" t="str">
        <f t="array" ref="AF5">_xlfn.XLOOKUP($G5,'AP Plants'!D:D,'AP Plants'!B:B)</f>
        <v>Class 1</v>
      </c>
      <c r="AG5" s="102"/>
      <c r="AH5" s="102">
        <f t="shared" si="10"/>
        <v>14731.608938860199</v>
      </c>
      <c r="AI5" s="44">
        <v>1.4999999999999999E-2</v>
      </c>
      <c r="AJ5" s="15">
        <f>_xlfn.XLOOKUP($AF5,Warranty!B:B,Warranty!E:E)</f>
        <v>5.0000000000000001E-3</v>
      </c>
      <c r="AK5" s="8">
        <f>IF($I5="AUD",VLOOKUP(RIGHT('Wk - Margins'!$G5,3),'AU Freight'!C:G,5,0),0)</f>
        <v>0</v>
      </c>
      <c r="AL5" s="15">
        <f t="shared" si="7"/>
        <v>0</v>
      </c>
      <c r="AM5" s="61">
        <f t="shared" si="11"/>
        <v>15026.241117637401</v>
      </c>
      <c r="AN5" s="63">
        <f t="shared" si="8"/>
        <v>0.14171567759520876</v>
      </c>
      <c r="AQ5" s="147"/>
    </row>
    <row r="6" spans="1:43">
      <c r="A6" s="10" t="str">
        <f>'Input - Bookings'!A6</f>
        <v>10-02</v>
      </c>
      <c r="B6" s="11" t="str">
        <f>'Input - Bookings'!C6</f>
        <v>A</v>
      </c>
      <c r="C6" s="11" t="str">
        <f>'Input - Bookings'!H6</f>
        <v>TH</v>
      </c>
      <c r="D6" s="24" t="str">
        <f>'Input - Bookings'!E6</f>
        <v>065</v>
      </c>
      <c r="E6" s="24" t="str">
        <f>'Input - Bookings'!G6</f>
        <v>DILOK AND SONS CO.,LTD.</v>
      </c>
      <c r="F6" s="146" t="str">
        <f>'Input - Bookings'!I6</f>
        <v>H63835</v>
      </c>
      <c r="G6" s="24" t="str">
        <f>'Input - Bookings'!L6</f>
        <v>A3C4</v>
      </c>
      <c r="H6" s="24" t="str">
        <f>'Input - Bookings'!M6</f>
        <v>J2.5UT</v>
      </c>
      <c r="I6" s="24" t="str">
        <f>'Input - Bookings'!B6</f>
        <v>USD</v>
      </c>
      <c r="J6" s="13" t="str">
        <f>IF(I6="USD",INDEX('AP Plants'!A:A,MATCH(G6,'AP Plants'!D:D,0)),INDEX('Australia Plants'!A:A,MATCH(G6,'Australia Plants'!D:D,0)))</f>
        <v>Maximal</v>
      </c>
      <c r="K6" s="73">
        <v>1</v>
      </c>
      <c r="L6" s="97">
        <v>25442</v>
      </c>
      <c r="M6" s="97">
        <v>17507.3</v>
      </c>
      <c r="N6" s="99">
        <v>0.14171567759520876</v>
      </c>
      <c r="O6" s="25">
        <f t="shared" si="9"/>
        <v>0.31187406650420568</v>
      </c>
      <c r="P6" s="14">
        <f>IFERROR(IF(OR(B6&amp;C6="PAU",B6&amp;C6="AIN"),VLOOKUP(B6&amp;C6&amp;G6,#REF!,8,0),VLOOKUP(B6&amp;G6,#REF!,8,0)),0)</f>
        <v>0</v>
      </c>
      <c r="Q6" s="15">
        <f t="shared" si="0"/>
        <v>0.14171567759520876</v>
      </c>
      <c r="R6" s="16" t="str">
        <f t="shared" si="1"/>
        <v>AOP</v>
      </c>
      <c r="S6" s="17">
        <f t="shared" si="2"/>
        <v>2481.0588823625981</v>
      </c>
      <c r="T6" s="18">
        <f t="shared" si="3"/>
        <v>2481.0588823625981</v>
      </c>
      <c r="U6" s="23">
        <f t="shared" si="4"/>
        <v>17507.3</v>
      </c>
      <c r="Y6" s="8" t="str">
        <f t="shared" si="5"/>
        <v>ATHH63835J2.5UT</v>
      </c>
      <c r="Z6" s="8" t="str">
        <f>IF(Y6='Input - Bookings'!S159,"OK","Check")</f>
        <v>Check</v>
      </c>
      <c r="AA6" s="139"/>
      <c r="AB6" s="103"/>
      <c r="AC6" s="103"/>
      <c r="AD6" s="100">
        <f t="shared" si="12"/>
        <v>14731.608938860199</v>
      </c>
      <c r="AE6" s="110"/>
      <c r="AF6" s="31" t="str">
        <f t="array" ref="AF6">_xlfn.XLOOKUP($G6,'AP Plants'!D:D,'AP Plants'!B:B)</f>
        <v>Class 1</v>
      </c>
      <c r="AG6" s="102"/>
      <c r="AH6" s="102">
        <f t="shared" si="10"/>
        <v>14731.608938860199</v>
      </c>
      <c r="AI6" s="44">
        <v>1.4999999999999999E-2</v>
      </c>
      <c r="AJ6" s="15">
        <f>_xlfn.XLOOKUP($AF6,Warranty!B:B,Warranty!E:E)</f>
        <v>5.0000000000000001E-3</v>
      </c>
      <c r="AK6" s="8">
        <f>IF($I6="AUD",VLOOKUP(RIGHT('Wk - Margins'!$G6,3),'AU Freight'!C:G,5,0),0)</f>
        <v>0</v>
      </c>
      <c r="AL6" s="15">
        <f t="shared" si="7"/>
        <v>0</v>
      </c>
      <c r="AM6" s="61">
        <f t="shared" si="11"/>
        <v>15026.241117637401</v>
      </c>
      <c r="AN6" s="63">
        <f t="shared" si="8"/>
        <v>0.14171567759520876</v>
      </c>
      <c r="AQ6" s="147"/>
    </row>
    <row r="7" spans="1:43">
      <c r="A7" s="10" t="str">
        <f>'Input - Bookings'!A7</f>
        <v>10-02</v>
      </c>
      <c r="B7" s="11" t="str">
        <f>'Input - Bookings'!C7</f>
        <v>A</v>
      </c>
      <c r="C7" s="11" t="str">
        <f>'Input - Bookings'!H7</f>
        <v>TH</v>
      </c>
      <c r="D7" s="24" t="str">
        <f>'Input - Bookings'!E7</f>
        <v>065</v>
      </c>
      <c r="E7" s="24" t="str">
        <f>'Input - Bookings'!G7</f>
        <v>DILOK AND SONS CO.,LTD.</v>
      </c>
      <c r="F7" s="146" t="str">
        <f>'Input - Bookings'!I7</f>
        <v>H63837</v>
      </c>
      <c r="G7" s="24" t="str">
        <f>'Input - Bookings'!L7</f>
        <v>A3C4</v>
      </c>
      <c r="H7" s="24" t="str">
        <f>'Input - Bookings'!M7</f>
        <v>J2.5UT</v>
      </c>
      <c r="I7" s="24" t="str">
        <f>'Input - Bookings'!B7</f>
        <v>USD</v>
      </c>
      <c r="J7" s="13" t="str">
        <f>IF(I7="USD",INDEX('AP Plants'!A:A,MATCH(G7,'AP Plants'!D:D,0)),INDEX('Australia Plants'!A:A,MATCH(G7,'Australia Plants'!D:D,0)))</f>
        <v>Maximal</v>
      </c>
      <c r="K7" s="73">
        <v>1</v>
      </c>
      <c r="L7" s="97">
        <v>25442</v>
      </c>
      <c r="M7" s="97">
        <v>17507.3</v>
      </c>
      <c r="N7" s="99">
        <v>0.14171567759520876</v>
      </c>
      <c r="O7" s="25">
        <f t="shared" si="9"/>
        <v>0.31187406650420568</v>
      </c>
      <c r="P7" s="14">
        <f>IFERROR(IF(OR(B7&amp;C7="PAU",B7&amp;C7="AIN"),VLOOKUP(B7&amp;C7&amp;G7,#REF!,8,0),VLOOKUP(B7&amp;G7,#REF!,8,0)),0)</f>
        <v>0</v>
      </c>
      <c r="Q7" s="15">
        <f t="shared" si="0"/>
        <v>0.14171567759520876</v>
      </c>
      <c r="R7" s="16" t="str">
        <f t="shared" si="1"/>
        <v>AOP</v>
      </c>
      <c r="S7" s="17">
        <f t="shared" si="2"/>
        <v>2481.0588823625981</v>
      </c>
      <c r="T7" s="18">
        <f t="shared" si="3"/>
        <v>2481.0588823625981</v>
      </c>
      <c r="U7" s="23">
        <f t="shared" si="4"/>
        <v>17507.3</v>
      </c>
      <c r="Y7" s="8" t="str">
        <f t="shared" si="5"/>
        <v>ATHH63837J2.5UT</v>
      </c>
      <c r="Z7" s="8" t="str">
        <f>IF(Y7='Input - Bookings'!S172,"OK","Check")</f>
        <v>Check</v>
      </c>
      <c r="AA7" s="139"/>
      <c r="AB7" s="103"/>
      <c r="AC7" s="103"/>
      <c r="AD7" s="100">
        <f t="shared" si="12"/>
        <v>14731.608938860199</v>
      </c>
      <c r="AE7" s="110"/>
      <c r="AF7" s="31" t="str">
        <f t="array" ref="AF7">_xlfn.XLOOKUP($G7,'AP Plants'!D:D,'AP Plants'!B:B)</f>
        <v>Class 1</v>
      </c>
      <c r="AG7" s="102"/>
      <c r="AH7" s="102">
        <f t="shared" si="10"/>
        <v>14731.608938860199</v>
      </c>
      <c r="AI7" s="44">
        <v>1.4999999999999999E-2</v>
      </c>
      <c r="AJ7" s="15">
        <f>_xlfn.XLOOKUP($AF7,Warranty!B:B,Warranty!E:E)</f>
        <v>5.0000000000000001E-3</v>
      </c>
      <c r="AK7" s="8">
        <f>IF($I7="AUD",VLOOKUP(RIGHT('Wk - Margins'!$G7,3),'AU Freight'!C:G,5,0),0)</f>
        <v>0</v>
      </c>
      <c r="AL7" s="15">
        <f t="shared" si="7"/>
        <v>0</v>
      </c>
      <c r="AM7" s="61">
        <f t="shared" si="11"/>
        <v>15026.241117637401</v>
      </c>
      <c r="AN7" s="63">
        <f t="shared" si="8"/>
        <v>0.14171567759520876</v>
      </c>
      <c r="AQ7" s="147"/>
    </row>
    <row r="8" spans="1:43">
      <c r="A8" s="10" t="str">
        <f>'Input - Bookings'!A8</f>
        <v>10-02</v>
      </c>
      <c r="B8" s="11" t="str">
        <f>'Input - Bookings'!C8</f>
        <v>A</v>
      </c>
      <c r="C8" s="11" t="str">
        <f>'Input - Bookings'!H8</f>
        <v>TH</v>
      </c>
      <c r="D8" s="24" t="str">
        <f>'Input - Bookings'!E8</f>
        <v>065</v>
      </c>
      <c r="E8" s="24" t="str">
        <f>'Input - Bookings'!G8</f>
        <v>DILOK AND SONS CO.,LTD.</v>
      </c>
      <c r="F8" s="146" t="str">
        <f>'Input - Bookings'!I8</f>
        <v>H63838</v>
      </c>
      <c r="G8" s="24" t="str">
        <f>'Input - Bookings'!L8</f>
        <v>A3C4</v>
      </c>
      <c r="H8" s="24" t="str">
        <f>'Input - Bookings'!M8</f>
        <v>J2.5UT</v>
      </c>
      <c r="I8" s="24" t="str">
        <f>'Input - Bookings'!B8</f>
        <v>USD</v>
      </c>
      <c r="J8" s="13" t="str">
        <f>IF(I8="USD",INDEX('AP Plants'!A:A,MATCH(G8,'AP Plants'!D:D,0)),INDEX('Australia Plants'!A:A,MATCH(G8,'Australia Plants'!D:D,0)))</f>
        <v>Maximal</v>
      </c>
      <c r="K8" s="73">
        <v>1</v>
      </c>
      <c r="L8" s="97">
        <v>25442</v>
      </c>
      <c r="M8" s="97">
        <v>17507.3</v>
      </c>
      <c r="N8" s="99">
        <v>0.14171567759520876</v>
      </c>
      <c r="O8" s="25">
        <f t="shared" si="9"/>
        <v>0.31187406650420568</v>
      </c>
      <c r="P8" s="14">
        <f>IFERROR(IF(OR(B8&amp;C8="PAU",B8&amp;C8="AIN"),VLOOKUP(B8&amp;C8&amp;G8,#REF!,8,0),VLOOKUP(B8&amp;G8,#REF!,8,0)),0)</f>
        <v>0</v>
      </c>
      <c r="Q8" s="15">
        <f t="shared" si="0"/>
        <v>0.14171567759520876</v>
      </c>
      <c r="R8" s="16" t="str">
        <f t="shared" si="1"/>
        <v>AOP</v>
      </c>
      <c r="S8" s="17">
        <f t="shared" si="2"/>
        <v>2481.0588823625981</v>
      </c>
      <c r="T8" s="18">
        <f t="shared" si="3"/>
        <v>2481.0588823625981</v>
      </c>
      <c r="U8" s="23">
        <f t="shared" si="4"/>
        <v>17507.3</v>
      </c>
      <c r="Y8" s="8" t="str">
        <f t="shared" si="5"/>
        <v>ATHH63838J2.5UT</v>
      </c>
      <c r="Z8" s="8" t="str">
        <f>IF(Y8='Input - Bookings'!S173,"OK","Check")</f>
        <v>Check</v>
      </c>
      <c r="AA8" s="118"/>
      <c r="AB8" s="103"/>
      <c r="AC8" s="103"/>
      <c r="AD8" s="100">
        <f t="shared" si="12"/>
        <v>14731.608938860199</v>
      </c>
      <c r="AE8" s="110"/>
      <c r="AF8" s="31" t="str">
        <f t="array" ref="AF8">_xlfn.XLOOKUP($G8,'AP Plants'!D:D,'AP Plants'!B:B)</f>
        <v>Class 1</v>
      </c>
      <c r="AG8" s="102"/>
      <c r="AH8" s="102">
        <f t="shared" si="10"/>
        <v>14731.608938860199</v>
      </c>
      <c r="AI8" s="44">
        <v>1.4999999999999999E-2</v>
      </c>
      <c r="AJ8" s="15">
        <f>_xlfn.XLOOKUP($AF8,Warranty!B:B,Warranty!E:E)</f>
        <v>5.0000000000000001E-3</v>
      </c>
      <c r="AK8" s="8">
        <f>IF($I8="AUD",VLOOKUP(RIGHT('Wk - Margins'!$G8,3),'AU Freight'!C:G,5,0),0)</f>
        <v>0</v>
      </c>
      <c r="AL8" s="15">
        <f t="shared" si="7"/>
        <v>0</v>
      </c>
      <c r="AM8" s="61">
        <f t="shared" si="11"/>
        <v>15026.241117637401</v>
      </c>
      <c r="AN8" s="63">
        <f t="shared" si="8"/>
        <v>0.14171567759520876</v>
      </c>
      <c r="AQ8" s="147"/>
    </row>
    <row r="9" spans="1:43">
      <c r="A9" s="10" t="str">
        <f>'Input - Bookings'!A9</f>
        <v>10-02</v>
      </c>
      <c r="B9" s="11" t="str">
        <f>'Input - Bookings'!C9</f>
        <v>A</v>
      </c>
      <c r="C9" s="11" t="str">
        <f>'Input - Bookings'!H9</f>
        <v>TH</v>
      </c>
      <c r="D9" s="24" t="str">
        <f>'Input - Bookings'!E9</f>
        <v>065</v>
      </c>
      <c r="E9" s="24" t="str">
        <f>'Input - Bookings'!G9</f>
        <v>DILOK AND SONS CO.,LTD.</v>
      </c>
      <c r="F9" s="146" t="str">
        <f>'Input - Bookings'!I9</f>
        <v>H63839</v>
      </c>
      <c r="G9" s="24" t="str">
        <f>'Input - Bookings'!L9</f>
        <v>A3C4</v>
      </c>
      <c r="H9" s="24" t="str">
        <f>'Input - Bookings'!M9</f>
        <v>J2.5UT</v>
      </c>
      <c r="I9" s="24" t="str">
        <f>'Input - Bookings'!B9</f>
        <v>USD</v>
      </c>
      <c r="J9" s="13" t="str">
        <f>IF(I9="USD",INDEX('AP Plants'!A:A,MATCH(G9,'AP Plants'!D:D,0)),INDEX('Australia Plants'!A:A,MATCH(G9,'Australia Plants'!D:D,0)))</f>
        <v>Maximal</v>
      </c>
      <c r="K9" s="73">
        <v>1</v>
      </c>
      <c r="L9" s="97">
        <v>25442</v>
      </c>
      <c r="M9" s="97">
        <v>17507.3</v>
      </c>
      <c r="N9" s="99">
        <v>0.14171567759520876</v>
      </c>
      <c r="O9" s="25">
        <f t="shared" ref="O9:O72" si="13">1-M9/L9</f>
        <v>0.31187406650420568</v>
      </c>
      <c r="P9" s="14">
        <f>IFERROR(IF(OR(B9&amp;C9="PAU",B9&amp;C9="AIN"),VLOOKUP(B9&amp;C9&amp;G9,#REF!,8,0),VLOOKUP(B9&amp;G9,#REF!,8,0)),0)</f>
        <v>0</v>
      </c>
      <c r="Q9" s="15">
        <f t="shared" ref="Q9:Q54" si="14">N9-P9</f>
        <v>0.14171567759520876</v>
      </c>
      <c r="R9" s="16" t="str">
        <f t="shared" ref="R9:R72" si="15">IF(Q9&gt;=0%,"AOP",IF(Q9&gt;=-2%,"GM",IF(Q9&gt;=-6%,"MD","VP")))</f>
        <v>AOP</v>
      </c>
      <c r="S9" s="17">
        <f t="shared" ref="S9:S72" si="16">K9*M9*(N9-P9)</f>
        <v>2481.0588823625981</v>
      </c>
      <c r="T9" s="18">
        <f t="shared" ref="T9:T72" si="17">IF(I9="USD",S9,S9/$X$6)</f>
        <v>2481.0588823625981</v>
      </c>
      <c r="U9" s="23">
        <f t="shared" si="4"/>
        <v>17507.3</v>
      </c>
      <c r="Y9" s="8" t="str">
        <f t="shared" ref="Y9:Y72" si="18">B9&amp;C9&amp;F9&amp;H9</f>
        <v>ATHH63839J2.5UT</v>
      </c>
      <c r="Z9" s="8" t="str">
        <f>IF(Y9='Input - Bookings'!S174,"OK","Check")</f>
        <v>Check</v>
      </c>
      <c r="AA9" s="118"/>
      <c r="AB9" s="103"/>
      <c r="AC9" s="103"/>
      <c r="AD9" s="100">
        <f t="shared" si="12"/>
        <v>14731.608938860199</v>
      </c>
      <c r="AE9" s="110"/>
      <c r="AF9" s="31" t="str">
        <f t="array" ref="AF9">_xlfn.XLOOKUP($G9,'AP Plants'!D:D,'AP Plants'!B:B)</f>
        <v>Class 1</v>
      </c>
      <c r="AG9" s="102"/>
      <c r="AH9" s="102">
        <f t="shared" si="10"/>
        <v>14731.608938860199</v>
      </c>
      <c r="AI9" s="44">
        <v>1.4999999999999999E-2</v>
      </c>
      <c r="AJ9" s="15">
        <f>_xlfn.XLOOKUP($AF9,Warranty!B:B,Warranty!E:E)</f>
        <v>5.0000000000000001E-3</v>
      </c>
      <c r="AK9" s="8">
        <f>IF($I9="AUD",VLOOKUP(RIGHT('Wk - Margins'!$G9,3),'AU Freight'!C:G,5,0),0)</f>
        <v>0</v>
      </c>
      <c r="AL9" s="15">
        <f t="shared" ref="AL9:AL72" si="19">IF(AND($I9="AUD",$AF9="Class 5 BT"),5%,0%)</f>
        <v>0</v>
      </c>
      <c r="AM9" s="61">
        <f t="shared" ref="AM9:AM72" si="20">SUM(AG9:AH9)*(1+AI9+AJ9+AL9)+AK9</f>
        <v>15026.241117637401</v>
      </c>
      <c r="AN9" s="63">
        <f t="shared" ref="AN9:AN74" si="21">1-AM9/M9</f>
        <v>0.14171567759520876</v>
      </c>
      <c r="AQ9" s="147"/>
    </row>
    <row r="10" spans="1:43">
      <c r="A10" s="10" t="str">
        <f>'Input - Bookings'!A10</f>
        <v>10-02</v>
      </c>
      <c r="B10" s="11" t="str">
        <f>'Input - Bookings'!C10</f>
        <v>A</v>
      </c>
      <c r="C10" s="11" t="str">
        <f>'Input - Bookings'!H10</f>
        <v>TH</v>
      </c>
      <c r="D10" s="24" t="str">
        <f>'Input - Bookings'!E10</f>
        <v>065</v>
      </c>
      <c r="E10" s="24" t="str">
        <f>'Input - Bookings'!G10</f>
        <v>DILOK AND SONS CO.,LTD.</v>
      </c>
      <c r="F10" s="146" t="str">
        <f>'Input - Bookings'!I10</f>
        <v>H63840</v>
      </c>
      <c r="G10" s="24" t="str">
        <f>'Input - Bookings'!L10</f>
        <v>A3C4</v>
      </c>
      <c r="H10" s="24" t="str">
        <f>'Input - Bookings'!M10</f>
        <v>J2.5UT</v>
      </c>
      <c r="I10" s="24" t="str">
        <f>'Input - Bookings'!B10</f>
        <v>USD</v>
      </c>
      <c r="J10" s="13" t="str">
        <f>IF(I10="USD",INDEX('AP Plants'!A:A,MATCH(G10,'AP Plants'!D:D,0)),INDEX('Australia Plants'!A:A,MATCH(G10,'Australia Plants'!D:D,0)))</f>
        <v>Maximal</v>
      </c>
      <c r="K10" s="73">
        <v>1</v>
      </c>
      <c r="L10" s="97">
        <v>25442</v>
      </c>
      <c r="M10" s="97">
        <v>17507.3</v>
      </c>
      <c r="N10" s="99">
        <v>0.14171567759520876</v>
      </c>
      <c r="O10" s="25">
        <f t="shared" si="13"/>
        <v>0.31187406650420568</v>
      </c>
      <c r="P10" s="14">
        <f>IFERROR(IF(OR(B10&amp;C10="PAU",B10&amp;C10="AIN"),VLOOKUP(B10&amp;C10&amp;G10,#REF!,8,0),VLOOKUP(B10&amp;G10,#REF!,8,0)),0)</f>
        <v>0</v>
      </c>
      <c r="Q10" s="15">
        <f t="shared" si="14"/>
        <v>0.14171567759520876</v>
      </c>
      <c r="R10" s="16" t="str">
        <f t="shared" si="15"/>
        <v>AOP</v>
      </c>
      <c r="S10" s="17">
        <f t="shared" si="16"/>
        <v>2481.0588823625981</v>
      </c>
      <c r="T10" s="18">
        <f t="shared" si="17"/>
        <v>2481.0588823625981</v>
      </c>
      <c r="U10" s="23">
        <f t="shared" si="4"/>
        <v>17507.3</v>
      </c>
      <c r="Y10" s="8" t="str">
        <f t="shared" si="18"/>
        <v>ATHH63840J2.5UT</v>
      </c>
      <c r="Z10" s="8" t="str">
        <f>IF(Y10='Input - Bookings'!Q291,"OK","Check")</f>
        <v>Check</v>
      </c>
      <c r="AA10" s="118"/>
      <c r="AB10" s="103"/>
      <c r="AC10" s="103"/>
      <c r="AD10" s="100">
        <f t="shared" si="12"/>
        <v>14731.608938860199</v>
      </c>
      <c r="AE10" s="110"/>
      <c r="AF10" s="31" t="str">
        <f t="array" ref="AF10">_xlfn.XLOOKUP($G10,'AP Plants'!D:D,'AP Plants'!B:B)</f>
        <v>Class 1</v>
      </c>
      <c r="AG10" s="102"/>
      <c r="AH10" s="102">
        <f t="shared" si="10"/>
        <v>14731.608938860199</v>
      </c>
      <c r="AI10" s="44">
        <v>1.4999999999999999E-2</v>
      </c>
      <c r="AJ10" s="15">
        <f>_xlfn.XLOOKUP($AF10,Warranty!B:B,Warranty!E:E)</f>
        <v>5.0000000000000001E-3</v>
      </c>
      <c r="AK10" s="8">
        <f>IF($I10="AUD",VLOOKUP(RIGHT('Wk - Margins'!$G10,3),'AU Freight'!C:G,5,0),0)</f>
        <v>0</v>
      </c>
      <c r="AL10" s="15">
        <f t="shared" si="19"/>
        <v>0</v>
      </c>
      <c r="AM10" s="61">
        <f t="shared" si="20"/>
        <v>15026.241117637401</v>
      </c>
      <c r="AN10" s="63">
        <f t="shared" si="21"/>
        <v>0.14171567759520876</v>
      </c>
      <c r="AQ10" s="147"/>
    </row>
    <row r="11" spans="1:43">
      <c r="A11" s="10" t="str">
        <f>'Input - Bookings'!A11</f>
        <v>10-02</v>
      </c>
      <c r="B11" s="11" t="str">
        <f>'Input - Bookings'!C11</f>
        <v>A</v>
      </c>
      <c r="C11" s="11" t="str">
        <f>'Input - Bookings'!H11</f>
        <v>TH</v>
      </c>
      <c r="D11" s="24" t="str">
        <f>'Input - Bookings'!E11</f>
        <v>065</v>
      </c>
      <c r="E11" s="24" t="str">
        <f>'Input - Bookings'!G11</f>
        <v>DILOK AND SONS CO.,LTD.</v>
      </c>
      <c r="F11" s="146" t="str">
        <f>'Input - Bookings'!I11</f>
        <v>H63871</v>
      </c>
      <c r="G11" s="24" t="str">
        <f>'Input - Bookings'!L11</f>
        <v>A3C4</v>
      </c>
      <c r="H11" s="24" t="str">
        <f>'Input - Bookings'!M11</f>
        <v>J1.8UT</v>
      </c>
      <c r="I11" s="24" t="str">
        <f>'Input - Bookings'!B11</f>
        <v>USD</v>
      </c>
      <c r="J11" s="13" t="str">
        <f>IF(I11="USD",INDEX('AP Plants'!A:A,MATCH(G11,'AP Plants'!D:D,0)),INDEX('Australia Plants'!A:A,MATCH(G11,'Australia Plants'!D:D,0)))</f>
        <v>Maximal</v>
      </c>
      <c r="K11" s="73">
        <v>1</v>
      </c>
      <c r="L11" s="97">
        <v>21959</v>
      </c>
      <c r="M11" s="97">
        <v>15012.000000000002</v>
      </c>
      <c r="N11" s="99">
        <v>0.12191069502231</v>
      </c>
      <c r="O11" s="25">
        <f t="shared" si="13"/>
        <v>0.31636231158067296</v>
      </c>
      <c r="P11" s="14">
        <f>IFERROR(IF(OR(B11&amp;C11="PAU",B11&amp;C11="AIN"),VLOOKUP(B11&amp;C11&amp;G11,#REF!,8,0),VLOOKUP(B11&amp;G11,#REF!,8,0)),0)</f>
        <v>0</v>
      </c>
      <c r="Q11" s="15">
        <f t="shared" si="14"/>
        <v>0.12191069502231</v>
      </c>
      <c r="R11" s="16" t="str">
        <f t="shared" si="15"/>
        <v>AOP</v>
      </c>
      <c r="S11" s="17">
        <f t="shared" si="16"/>
        <v>1830.123353674918</v>
      </c>
      <c r="T11" s="18">
        <f t="shared" si="17"/>
        <v>1830.123353674918</v>
      </c>
      <c r="U11" s="23">
        <f t="shared" si="4"/>
        <v>15012.000000000002</v>
      </c>
      <c r="Y11" s="8" t="str">
        <f t="shared" si="18"/>
        <v>ATHH63871J1.8UT</v>
      </c>
      <c r="Z11" s="8" t="str">
        <f>IF(Y11='Input - Bookings'!Q292,"OK","Check")</f>
        <v>Check</v>
      </c>
      <c r="AA11" s="118"/>
      <c r="AB11" s="103"/>
      <c r="AC11" s="103"/>
      <c r="AD11" s="100">
        <f>12723.4084767893+200</f>
        <v>12923.4084767893</v>
      </c>
      <c r="AE11" s="110"/>
      <c r="AF11" s="31" t="str">
        <f t="array" ref="AF11">_xlfn.XLOOKUP($G11,'AP Plants'!D:D,'AP Plants'!B:B)</f>
        <v>Class 1</v>
      </c>
      <c r="AG11" s="102"/>
      <c r="AH11" s="102">
        <f t="shared" si="10"/>
        <v>12923.4084767893</v>
      </c>
      <c r="AI11" s="44">
        <v>1.4999999999999999E-2</v>
      </c>
      <c r="AJ11" s="15">
        <f>_xlfn.XLOOKUP($AF11,Warranty!B:B,Warranty!E:E)</f>
        <v>5.0000000000000001E-3</v>
      </c>
      <c r="AK11" s="8">
        <f>IF($I11="AUD",VLOOKUP(RIGHT('Wk - Margins'!$G11,3),'AU Freight'!C:G,5,0),0)</f>
        <v>0</v>
      </c>
      <c r="AL11" s="15">
        <f t="shared" si="19"/>
        <v>0</v>
      </c>
      <c r="AM11" s="61">
        <f t="shared" si="20"/>
        <v>13181.876646325083</v>
      </c>
      <c r="AN11" s="63">
        <f t="shared" si="21"/>
        <v>0.12191069502231</v>
      </c>
      <c r="AQ11" s="147"/>
    </row>
    <row r="12" spans="1:43">
      <c r="A12" s="10" t="str">
        <f>'Input - Bookings'!A12</f>
        <v>10-02</v>
      </c>
      <c r="B12" s="11" t="str">
        <f>'Input - Bookings'!C12</f>
        <v>A</v>
      </c>
      <c r="C12" s="11" t="str">
        <f>'Input - Bookings'!H12</f>
        <v>TH</v>
      </c>
      <c r="D12" s="24" t="str">
        <f>'Input - Bookings'!E12</f>
        <v>065</v>
      </c>
      <c r="E12" s="24" t="str">
        <f>'Input - Bookings'!G12</f>
        <v>DILOK AND SONS CO.,LTD.</v>
      </c>
      <c r="F12" s="146" t="str">
        <f>'Input - Bookings'!I12</f>
        <v>H63872</v>
      </c>
      <c r="G12" s="24" t="str">
        <f>'Input - Bookings'!L12</f>
        <v>A3C4</v>
      </c>
      <c r="H12" s="24" t="str">
        <f>'Input - Bookings'!M12</f>
        <v>J1.8UT</v>
      </c>
      <c r="I12" s="24" t="str">
        <f>'Input - Bookings'!B12</f>
        <v>USD</v>
      </c>
      <c r="J12" s="13" t="str">
        <f>IF(I12="USD",INDEX('AP Plants'!A:A,MATCH(G12,'AP Plants'!D:D,0)),INDEX('Australia Plants'!A:A,MATCH(G12,'Australia Plants'!D:D,0)))</f>
        <v>Maximal</v>
      </c>
      <c r="K12" s="73">
        <v>1</v>
      </c>
      <c r="L12" s="97">
        <v>21959</v>
      </c>
      <c r="M12" s="97">
        <v>15012.000000000002</v>
      </c>
      <c r="N12" s="99">
        <v>0.12191069502231</v>
      </c>
      <c r="O12" s="25">
        <f t="shared" si="13"/>
        <v>0.31636231158067296</v>
      </c>
      <c r="P12" s="14">
        <f>IFERROR(IF(OR(B12&amp;C12="PAU",B12&amp;C12="AIN"),VLOOKUP(B12&amp;C12&amp;G12,#REF!,8,0),VLOOKUP(B12&amp;G12,#REF!,8,0)),0)</f>
        <v>0</v>
      </c>
      <c r="Q12" s="15">
        <f t="shared" si="14"/>
        <v>0.12191069502231</v>
      </c>
      <c r="R12" s="16" t="str">
        <f t="shared" si="15"/>
        <v>AOP</v>
      </c>
      <c r="S12" s="17">
        <f t="shared" si="16"/>
        <v>1830.123353674918</v>
      </c>
      <c r="T12" s="18">
        <f t="shared" si="17"/>
        <v>1830.123353674918</v>
      </c>
      <c r="U12" s="23">
        <f t="shared" si="4"/>
        <v>15012.000000000002</v>
      </c>
      <c r="Y12" s="8" t="str">
        <f t="shared" si="18"/>
        <v>ATHH63872J1.8UT</v>
      </c>
      <c r="Z12" s="8" t="str">
        <f>IF(Y12='Input - Bookings'!Q294,"OK","Check")</f>
        <v>Check</v>
      </c>
      <c r="AA12" s="118"/>
      <c r="AB12" s="103"/>
      <c r="AC12" s="103"/>
      <c r="AD12" s="100">
        <f t="shared" ref="AD12:AD18" si="22">12723.4084767893+200</f>
        <v>12923.4084767893</v>
      </c>
      <c r="AE12" s="110"/>
      <c r="AF12" s="31" t="str">
        <f t="array" ref="AF12">_xlfn.XLOOKUP($G12,'AP Plants'!D:D,'AP Plants'!B:B)</f>
        <v>Class 1</v>
      </c>
      <c r="AG12" s="102"/>
      <c r="AH12" s="102">
        <f t="shared" si="10"/>
        <v>12923.4084767893</v>
      </c>
      <c r="AI12" s="44">
        <v>1.4999999999999999E-2</v>
      </c>
      <c r="AJ12" s="15">
        <f>_xlfn.XLOOKUP($AF12,Warranty!B:B,Warranty!E:E)</f>
        <v>5.0000000000000001E-3</v>
      </c>
      <c r="AK12" s="8">
        <f>IF($I12="AUD",VLOOKUP(RIGHT('Wk - Margins'!$G12,3),'AU Freight'!C:G,5,0),0)</f>
        <v>0</v>
      </c>
      <c r="AL12" s="15">
        <f t="shared" si="19"/>
        <v>0</v>
      </c>
      <c r="AM12" s="61">
        <f t="shared" si="20"/>
        <v>13181.876646325083</v>
      </c>
      <c r="AN12" s="63">
        <f t="shared" si="21"/>
        <v>0.12191069502231</v>
      </c>
      <c r="AQ12" s="147"/>
    </row>
    <row r="13" spans="1:43">
      <c r="A13" s="10" t="str">
        <f>'Input - Bookings'!A13</f>
        <v>10-02</v>
      </c>
      <c r="B13" s="11" t="str">
        <f>'Input - Bookings'!C13</f>
        <v>A</v>
      </c>
      <c r="C13" s="11" t="str">
        <f>'Input - Bookings'!H13</f>
        <v>TH</v>
      </c>
      <c r="D13" s="24" t="str">
        <f>'Input - Bookings'!E13</f>
        <v>065</v>
      </c>
      <c r="E13" s="24" t="str">
        <f>'Input - Bookings'!G13</f>
        <v>DILOK AND SONS CO.,LTD.</v>
      </c>
      <c r="F13" s="146" t="str">
        <f>'Input - Bookings'!I13</f>
        <v>H63873</v>
      </c>
      <c r="G13" s="24" t="str">
        <f>'Input - Bookings'!L13</f>
        <v>A3C4</v>
      </c>
      <c r="H13" s="24" t="str">
        <f>'Input - Bookings'!M13</f>
        <v>J1.8UT</v>
      </c>
      <c r="I13" s="24" t="str">
        <f>'Input - Bookings'!B13</f>
        <v>USD</v>
      </c>
      <c r="J13" s="13" t="str">
        <f>IF(I13="USD",INDEX('AP Plants'!A:A,MATCH(G13,'AP Plants'!D:D,0)),INDEX('Australia Plants'!A:A,MATCH(G13,'Australia Plants'!D:D,0)))</f>
        <v>Maximal</v>
      </c>
      <c r="K13" s="73">
        <v>1</v>
      </c>
      <c r="L13" s="97">
        <v>21959</v>
      </c>
      <c r="M13" s="97">
        <v>15012.000000000002</v>
      </c>
      <c r="N13" s="99">
        <v>0.12191069502231</v>
      </c>
      <c r="O13" s="25">
        <f t="shared" si="13"/>
        <v>0.31636231158067296</v>
      </c>
      <c r="P13" s="14">
        <f>IFERROR(IF(OR(B13&amp;C13="PAU",B13&amp;C13="AIN"),VLOOKUP(B13&amp;C13&amp;G13,#REF!,8,0),VLOOKUP(B13&amp;G13,#REF!,8,0)),0)</f>
        <v>0</v>
      </c>
      <c r="Q13" s="15">
        <f t="shared" si="14"/>
        <v>0.12191069502231</v>
      </c>
      <c r="R13" s="16" t="str">
        <f t="shared" si="15"/>
        <v>AOP</v>
      </c>
      <c r="S13" s="17">
        <f t="shared" si="16"/>
        <v>1830.123353674918</v>
      </c>
      <c r="T13" s="18">
        <f t="shared" si="17"/>
        <v>1830.123353674918</v>
      </c>
      <c r="U13" s="23">
        <f t="shared" si="4"/>
        <v>15012.000000000002</v>
      </c>
      <c r="Y13" s="8" t="str">
        <f t="shared" si="18"/>
        <v>ATHH63873J1.8UT</v>
      </c>
      <c r="Z13" s="8" t="str">
        <f>IF(Y13='Input - Bookings'!Q3,"OK","Check")</f>
        <v>Check</v>
      </c>
      <c r="AA13" s="118"/>
      <c r="AB13" s="103"/>
      <c r="AC13" s="103"/>
      <c r="AD13" s="100">
        <f t="shared" si="22"/>
        <v>12923.4084767893</v>
      </c>
      <c r="AE13" s="100"/>
      <c r="AF13" s="8" t="str">
        <f t="array" ref="AF13">_xlfn.XLOOKUP($G13,'AP Plants'!D:D,'AP Plants'!B:B)</f>
        <v>Class 1</v>
      </c>
      <c r="AG13" s="102"/>
      <c r="AH13" s="102">
        <f t="shared" si="10"/>
        <v>12923.4084767893</v>
      </c>
      <c r="AI13" s="44">
        <v>1.4999999999999999E-2</v>
      </c>
      <c r="AJ13" s="15">
        <f>_xlfn.XLOOKUP($AF13,Warranty!B:B,Warranty!E:E)</f>
        <v>5.0000000000000001E-3</v>
      </c>
      <c r="AK13" s="8">
        <f>IF($I13="AUD",VLOOKUP(RIGHT('Wk - Margins'!$G13,3),'AU Freight'!C:G,5,0),0)</f>
        <v>0</v>
      </c>
      <c r="AL13" s="15">
        <f t="shared" si="19"/>
        <v>0</v>
      </c>
      <c r="AM13" s="61">
        <f t="shared" si="20"/>
        <v>13181.876646325083</v>
      </c>
      <c r="AN13" s="63">
        <f t="shared" si="21"/>
        <v>0.12191069502231</v>
      </c>
      <c r="AQ13" s="147"/>
    </row>
    <row r="14" spans="1:43">
      <c r="A14" s="10" t="str">
        <f>'Input - Bookings'!A14</f>
        <v>10-02</v>
      </c>
      <c r="B14" s="11" t="str">
        <f>'Input - Bookings'!C14</f>
        <v>A</v>
      </c>
      <c r="C14" s="11" t="str">
        <f>'Input - Bookings'!H14</f>
        <v>TH</v>
      </c>
      <c r="D14" s="24" t="str">
        <f>'Input - Bookings'!E14</f>
        <v>065</v>
      </c>
      <c r="E14" s="24" t="str">
        <f>'Input - Bookings'!G14</f>
        <v>DILOK AND SONS CO.,LTD.</v>
      </c>
      <c r="F14" s="146" t="str">
        <f>'Input - Bookings'!I14</f>
        <v>H63874</v>
      </c>
      <c r="G14" s="24" t="str">
        <f>'Input - Bookings'!L14</f>
        <v>A3C4</v>
      </c>
      <c r="H14" s="24" t="str">
        <f>'Input - Bookings'!M14</f>
        <v>J1.8UT</v>
      </c>
      <c r="I14" s="24" t="str">
        <f>'Input - Bookings'!B14</f>
        <v>USD</v>
      </c>
      <c r="J14" s="13" t="str">
        <f>IF(I14="USD",INDEX('AP Plants'!A:A,MATCH(G14,'AP Plants'!D:D,0)),INDEX('Australia Plants'!A:A,MATCH(G14,'Australia Plants'!D:D,0)))</f>
        <v>Maximal</v>
      </c>
      <c r="K14" s="73">
        <v>1</v>
      </c>
      <c r="L14" s="97">
        <v>21959</v>
      </c>
      <c r="M14" s="97">
        <v>15012.000000000002</v>
      </c>
      <c r="N14" s="99">
        <v>0.12191069502231</v>
      </c>
      <c r="O14" s="25">
        <f t="shared" si="13"/>
        <v>0.31636231158067296</v>
      </c>
      <c r="P14" s="14">
        <f>IFERROR(IF(OR(B14&amp;C14="PAU",B14&amp;C14="AIN"),VLOOKUP(B14&amp;C14&amp;G14,#REF!,8,0),VLOOKUP(B14&amp;G14,#REF!,8,0)),0)</f>
        <v>0</v>
      </c>
      <c r="Q14" s="15">
        <f t="shared" si="14"/>
        <v>0.12191069502231</v>
      </c>
      <c r="R14" s="16" t="str">
        <f t="shared" si="15"/>
        <v>AOP</v>
      </c>
      <c r="S14" s="17">
        <f t="shared" si="16"/>
        <v>1830.123353674918</v>
      </c>
      <c r="T14" s="18">
        <f t="shared" si="17"/>
        <v>1830.123353674918</v>
      </c>
      <c r="U14" s="23">
        <f t="shared" si="4"/>
        <v>15012.000000000002</v>
      </c>
      <c r="Y14" s="8" t="str">
        <f t="shared" si="18"/>
        <v>ATHH63874J1.8UT</v>
      </c>
      <c r="Z14" s="8" t="str">
        <f>IF(Y14='Input - Bookings'!Q28,"OK","Check")</f>
        <v>Check</v>
      </c>
      <c r="AA14" s="118"/>
      <c r="AB14" s="103"/>
      <c r="AC14" s="103"/>
      <c r="AD14" s="100">
        <f t="shared" si="22"/>
        <v>12923.4084767893</v>
      </c>
      <c r="AE14" s="110"/>
      <c r="AF14" s="31" t="str">
        <f t="array" ref="AF14">_xlfn.XLOOKUP($G14,'AP Plants'!D:D,'AP Plants'!B:B)</f>
        <v>Class 1</v>
      </c>
      <c r="AG14" s="102"/>
      <c r="AH14" s="102">
        <f t="shared" si="10"/>
        <v>12923.4084767893</v>
      </c>
      <c r="AI14" s="44">
        <v>1.4999999999999999E-2</v>
      </c>
      <c r="AJ14" s="15">
        <f>_xlfn.XLOOKUP($AF14,Warranty!B:B,Warranty!E:E)</f>
        <v>5.0000000000000001E-3</v>
      </c>
      <c r="AK14" s="8">
        <f>IF($I14="AUD",VLOOKUP(RIGHT('Wk - Margins'!$G14,3),'AU Freight'!C:G,5,0),0)</f>
        <v>0</v>
      </c>
      <c r="AL14" s="15">
        <f t="shared" si="19"/>
        <v>0</v>
      </c>
      <c r="AM14" s="61">
        <f t="shared" si="20"/>
        <v>13181.876646325083</v>
      </c>
      <c r="AN14" s="63">
        <f t="shared" si="21"/>
        <v>0.12191069502231</v>
      </c>
      <c r="AQ14" s="147"/>
    </row>
    <row r="15" spans="1:43">
      <c r="A15" s="10" t="str">
        <f>'Input - Bookings'!A15</f>
        <v>10-02</v>
      </c>
      <c r="B15" s="11" t="str">
        <f>'Input - Bookings'!C15</f>
        <v>A</v>
      </c>
      <c r="C15" s="11" t="str">
        <f>'Input - Bookings'!H15</f>
        <v>TH</v>
      </c>
      <c r="D15" s="24" t="str">
        <f>'Input - Bookings'!E15</f>
        <v>065</v>
      </c>
      <c r="E15" s="24" t="str">
        <f>'Input - Bookings'!G15</f>
        <v>DILOK AND SONS CO.,LTD.</v>
      </c>
      <c r="F15" s="146" t="str">
        <f>'Input - Bookings'!I15</f>
        <v>H63875</v>
      </c>
      <c r="G15" s="24" t="str">
        <f>'Input - Bookings'!L15</f>
        <v>A3C4</v>
      </c>
      <c r="H15" s="24" t="str">
        <f>'Input - Bookings'!M15</f>
        <v>J1.8UT</v>
      </c>
      <c r="I15" s="24" t="str">
        <f>'Input - Bookings'!B15</f>
        <v>USD</v>
      </c>
      <c r="J15" s="13" t="str">
        <f>IF(I15="USD",INDEX('AP Plants'!A:A,MATCH(G15,'AP Plants'!D:D,0)),INDEX('Australia Plants'!A:A,MATCH(G15,'Australia Plants'!D:D,0)))</f>
        <v>Maximal</v>
      </c>
      <c r="K15" s="73">
        <v>1</v>
      </c>
      <c r="L15" s="97">
        <v>21959</v>
      </c>
      <c r="M15" s="97">
        <v>15012.000000000002</v>
      </c>
      <c r="N15" s="99">
        <v>0.12191069502231</v>
      </c>
      <c r="O15" s="25">
        <f t="shared" si="13"/>
        <v>0.31636231158067296</v>
      </c>
      <c r="P15" s="14">
        <f>IFERROR(IF(OR(B15&amp;C15="PAU",B15&amp;C15="AIN"),VLOOKUP(B15&amp;C15&amp;G15,#REF!,8,0),VLOOKUP(B15&amp;G15,#REF!,8,0)),0)</f>
        <v>0</v>
      </c>
      <c r="Q15" s="15">
        <f t="shared" si="14"/>
        <v>0.12191069502231</v>
      </c>
      <c r="R15" s="16" t="str">
        <f t="shared" si="15"/>
        <v>AOP</v>
      </c>
      <c r="S15" s="17">
        <f t="shared" si="16"/>
        <v>1830.123353674918</v>
      </c>
      <c r="T15" s="18">
        <f t="shared" si="17"/>
        <v>1830.123353674918</v>
      </c>
      <c r="U15" s="23">
        <f t="shared" si="4"/>
        <v>15012.000000000002</v>
      </c>
      <c r="Y15" s="8" t="str">
        <f t="shared" si="18"/>
        <v>ATHH63875J1.8UT</v>
      </c>
      <c r="Z15" s="8" t="str">
        <f>IF(Y15='Input - Bookings'!Q5,"OK","Check")</f>
        <v>Check</v>
      </c>
      <c r="AA15" s="139"/>
      <c r="AB15" s="103"/>
      <c r="AC15" s="103"/>
      <c r="AD15" s="100">
        <f t="shared" si="22"/>
        <v>12923.4084767893</v>
      </c>
      <c r="AE15" s="110"/>
      <c r="AF15" s="8" t="str">
        <f t="array" ref="AF15">_xlfn.XLOOKUP($G15,'AP Plants'!D:D,'AP Plants'!B:B)</f>
        <v>Class 1</v>
      </c>
      <c r="AG15" s="102"/>
      <c r="AH15" s="102">
        <f t="shared" si="10"/>
        <v>12923.4084767893</v>
      </c>
      <c r="AI15" s="44">
        <v>1.4999999999999999E-2</v>
      </c>
      <c r="AJ15" s="15">
        <f>_xlfn.XLOOKUP($AF15,Warranty!B:B,Warranty!E:E)</f>
        <v>5.0000000000000001E-3</v>
      </c>
      <c r="AK15" s="8">
        <f>IF($I15="AUD",VLOOKUP(RIGHT('Wk - Margins'!$G15,3),'AU Freight'!C:G,5,0),0)</f>
        <v>0</v>
      </c>
      <c r="AL15" s="15">
        <f t="shared" si="19"/>
        <v>0</v>
      </c>
      <c r="AM15" s="61">
        <f t="shared" si="20"/>
        <v>13181.876646325083</v>
      </c>
      <c r="AN15" s="63">
        <f t="shared" si="21"/>
        <v>0.12191069502231</v>
      </c>
      <c r="AQ15" s="147"/>
    </row>
    <row r="16" spans="1:43">
      <c r="A16" s="10" t="str">
        <f>'Input - Bookings'!A16</f>
        <v>10-02</v>
      </c>
      <c r="B16" s="11" t="str">
        <f>'Input - Bookings'!C16</f>
        <v>A</v>
      </c>
      <c r="C16" s="11" t="str">
        <f>'Input - Bookings'!H16</f>
        <v>TH</v>
      </c>
      <c r="D16" s="24" t="str">
        <f>'Input - Bookings'!E16</f>
        <v>065</v>
      </c>
      <c r="E16" s="24" t="str">
        <f>'Input - Bookings'!G16</f>
        <v>DILOK AND SONS CO.,LTD.</v>
      </c>
      <c r="F16" s="146" t="str">
        <f>'Input - Bookings'!I16</f>
        <v>H63876</v>
      </c>
      <c r="G16" s="24" t="str">
        <f>'Input - Bookings'!L16</f>
        <v>A3C4</v>
      </c>
      <c r="H16" s="24" t="str">
        <f>'Input - Bookings'!M16</f>
        <v>J1.8UT</v>
      </c>
      <c r="I16" s="24" t="str">
        <f>'Input - Bookings'!B16</f>
        <v>USD</v>
      </c>
      <c r="J16" s="13" t="str">
        <f>IF(I16="USD",INDEX('AP Plants'!A:A,MATCH(G16,'AP Plants'!D:D,0)),INDEX('Australia Plants'!A:A,MATCH(G16,'Australia Plants'!D:D,0)))</f>
        <v>Maximal</v>
      </c>
      <c r="K16" s="73">
        <v>1</v>
      </c>
      <c r="L16" s="97">
        <v>21959</v>
      </c>
      <c r="M16" s="97">
        <v>15012.000000000002</v>
      </c>
      <c r="N16" s="99">
        <v>0.12191069502231</v>
      </c>
      <c r="O16" s="25">
        <f t="shared" si="13"/>
        <v>0.31636231158067296</v>
      </c>
      <c r="P16" s="14">
        <f>IFERROR(IF(OR(B16&amp;C16="PAU",B16&amp;C16="AIN"),VLOOKUP(B16&amp;C16&amp;G16,#REF!,8,0),VLOOKUP(B16&amp;G16,#REF!,8,0)),0)</f>
        <v>0</v>
      </c>
      <c r="Q16" s="15">
        <f t="shared" si="14"/>
        <v>0.12191069502231</v>
      </c>
      <c r="R16" s="16" t="str">
        <f t="shared" si="15"/>
        <v>AOP</v>
      </c>
      <c r="S16" s="17">
        <f t="shared" si="16"/>
        <v>1830.123353674918</v>
      </c>
      <c r="T16" s="18">
        <f t="shared" si="17"/>
        <v>1830.123353674918</v>
      </c>
      <c r="U16" s="23">
        <f t="shared" si="4"/>
        <v>15012.000000000002</v>
      </c>
      <c r="W16" s="9"/>
      <c r="X16" s="9"/>
      <c r="Y16" s="8" t="str">
        <f t="shared" si="18"/>
        <v>ATHH63876J1.8UT</v>
      </c>
      <c r="Z16" s="8" t="str">
        <f>IF(Y16='Input - Bookings'!Q6,"OK","Check")</f>
        <v>Check</v>
      </c>
      <c r="AA16" s="139"/>
      <c r="AB16" s="103"/>
      <c r="AC16" s="103"/>
      <c r="AD16" s="100">
        <f t="shared" si="22"/>
        <v>12923.4084767893</v>
      </c>
      <c r="AE16" s="110"/>
      <c r="AF16" s="8" t="str">
        <f t="array" ref="AF16">_xlfn.XLOOKUP($G16,'AP Plants'!D:D,'AP Plants'!B:B)</f>
        <v>Class 1</v>
      </c>
      <c r="AG16" s="102"/>
      <c r="AH16" s="102">
        <f t="shared" si="10"/>
        <v>12923.4084767893</v>
      </c>
      <c r="AI16" s="44">
        <v>1.4999999999999999E-2</v>
      </c>
      <c r="AJ16" s="15">
        <f>_xlfn.XLOOKUP($AF16,Warranty!B:B,Warranty!E:E)</f>
        <v>5.0000000000000001E-3</v>
      </c>
      <c r="AK16" s="8">
        <f>IF($I16="AUD",VLOOKUP(RIGHT('Wk - Margins'!$G16,3),'AU Freight'!C:G,5,0),0)</f>
        <v>0</v>
      </c>
      <c r="AL16" s="15">
        <f t="shared" si="19"/>
        <v>0</v>
      </c>
      <c r="AM16" s="61">
        <f t="shared" si="20"/>
        <v>13181.876646325083</v>
      </c>
      <c r="AN16" s="63">
        <f t="shared" si="21"/>
        <v>0.12191069502231</v>
      </c>
      <c r="AQ16" s="147"/>
    </row>
    <row r="17" spans="1:43">
      <c r="A17" s="10" t="str">
        <f>'Input - Bookings'!A17</f>
        <v>10-02</v>
      </c>
      <c r="B17" s="11" t="str">
        <f>'Input - Bookings'!C17</f>
        <v>A</v>
      </c>
      <c r="C17" s="11" t="str">
        <f>'Input - Bookings'!H17</f>
        <v>TH</v>
      </c>
      <c r="D17" s="24" t="str">
        <f>'Input - Bookings'!E17</f>
        <v>065</v>
      </c>
      <c r="E17" s="24" t="str">
        <f>'Input - Bookings'!G17</f>
        <v>DILOK AND SONS CO.,LTD.</v>
      </c>
      <c r="F17" s="146" t="str">
        <f>'Input - Bookings'!I17</f>
        <v>H63877</v>
      </c>
      <c r="G17" s="24" t="str">
        <f>'Input - Bookings'!L17</f>
        <v>A3C4</v>
      </c>
      <c r="H17" s="24" t="str">
        <f>'Input - Bookings'!M17</f>
        <v>J1.8UT</v>
      </c>
      <c r="I17" s="24" t="str">
        <f>'Input - Bookings'!B17</f>
        <v>USD</v>
      </c>
      <c r="J17" s="13" t="str">
        <f>IF(I17="USD",INDEX('AP Plants'!A:A,MATCH(G17,'AP Plants'!D:D,0)),INDEX('Australia Plants'!A:A,MATCH(G17,'Australia Plants'!D:D,0)))</f>
        <v>Maximal</v>
      </c>
      <c r="K17" s="73">
        <v>1</v>
      </c>
      <c r="L17" s="97">
        <v>21959</v>
      </c>
      <c r="M17" s="97">
        <v>15012.000000000002</v>
      </c>
      <c r="N17" s="99">
        <v>0.12191069502231</v>
      </c>
      <c r="O17" s="25">
        <f t="shared" si="13"/>
        <v>0.31636231158067296</v>
      </c>
      <c r="P17" s="14">
        <f>IFERROR(IF(OR(B17&amp;C17="PAU",B17&amp;C17="AIN"),VLOOKUP(B17&amp;C17&amp;G17,#REF!,8,0),VLOOKUP(B17&amp;G17,#REF!,8,0)),0)</f>
        <v>0</v>
      </c>
      <c r="Q17" s="15">
        <f t="shared" si="14"/>
        <v>0.12191069502231</v>
      </c>
      <c r="R17" s="16" t="str">
        <f t="shared" si="15"/>
        <v>AOP</v>
      </c>
      <c r="S17" s="17">
        <f t="shared" si="16"/>
        <v>1830.123353674918</v>
      </c>
      <c r="T17" s="18">
        <f t="shared" si="17"/>
        <v>1830.123353674918</v>
      </c>
      <c r="U17" s="23">
        <f t="shared" si="4"/>
        <v>15012.000000000002</v>
      </c>
      <c r="W17" s="9"/>
      <c r="X17" s="9"/>
      <c r="Y17" s="8" t="str">
        <f t="shared" si="18"/>
        <v>ATHH63877J1.8UT</v>
      </c>
      <c r="Z17" s="8" t="str">
        <f>IF(Y17='Input - Bookings'!Q7,"OK","Check")</f>
        <v>Check</v>
      </c>
      <c r="AA17" s="139"/>
      <c r="AB17" s="103"/>
      <c r="AC17" s="103"/>
      <c r="AD17" s="100">
        <f t="shared" si="22"/>
        <v>12923.4084767893</v>
      </c>
      <c r="AE17" s="110"/>
      <c r="AF17" s="8" t="str">
        <f t="array" ref="AF17">_xlfn.XLOOKUP($G17,'AP Plants'!D:D,'AP Plants'!B:B)</f>
        <v>Class 1</v>
      </c>
      <c r="AG17" s="102"/>
      <c r="AH17" s="102">
        <f t="shared" si="10"/>
        <v>12923.4084767893</v>
      </c>
      <c r="AI17" s="44">
        <v>1.4999999999999999E-2</v>
      </c>
      <c r="AJ17" s="15">
        <f>_xlfn.XLOOKUP($AF17,Warranty!B:B,Warranty!E:E)</f>
        <v>5.0000000000000001E-3</v>
      </c>
      <c r="AK17" s="8">
        <f>IF($I17="AUD",VLOOKUP(RIGHT('Wk - Margins'!$G17,3),'AU Freight'!C:G,5,0),0)</f>
        <v>0</v>
      </c>
      <c r="AL17" s="15">
        <f t="shared" si="19"/>
        <v>0</v>
      </c>
      <c r="AM17" s="61">
        <f t="shared" si="20"/>
        <v>13181.876646325083</v>
      </c>
      <c r="AN17" s="63">
        <f t="shared" si="21"/>
        <v>0.12191069502231</v>
      </c>
      <c r="AQ17" s="147"/>
    </row>
    <row r="18" spans="1:43">
      <c r="A18" s="10" t="str">
        <f>'Input - Bookings'!A18</f>
        <v>10-02</v>
      </c>
      <c r="B18" s="11" t="str">
        <f>'Input - Bookings'!C18</f>
        <v>A</v>
      </c>
      <c r="C18" s="11" t="str">
        <f>'Input - Bookings'!H18</f>
        <v>TH</v>
      </c>
      <c r="D18" s="24" t="str">
        <f>'Input - Bookings'!E18</f>
        <v>065</v>
      </c>
      <c r="E18" s="24" t="str">
        <f>'Input - Bookings'!G18</f>
        <v>DILOK AND SONS CO.,LTD.</v>
      </c>
      <c r="F18" s="146" t="str">
        <f>'Input - Bookings'!I18</f>
        <v>H63878</v>
      </c>
      <c r="G18" s="24" t="str">
        <f>'Input - Bookings'!L18</f>
        <v>A3C4</v>
      </c>
      <c r="H18" s="24" t="str">
        <f>'Input - Bookings'!M18</f>
        <v>J1.8UT</v>
      </c>
      <c r="I18" s="24" t="str">
        <f>'Input - Bookings'!B18</f>
        <v>USD</v>
      </c>
      <c r="J18" s="13" t="str">
        <f>IF(I18="USD",INDEX('AP Plants'!A:A,MATCH(G18,'AP Plants'!D:D,0)),INDEX('Australia Plants'!A:A,MATCH(G18,'Australia Plants'!D:D,0)))</f>
        <v>Maximal</v>
      </c>
      <c r="K18" s="73">
        <v>1</v>
      </c>
      <c r="L18" s="97">
        <v>21959</v>
      </c>
      <c r="M18" s="97">
        <v>15012.000000000002</v>
      </c>
      <c r="N18" s="99">
        <v>0.12191069502231</v>
      </c>
      <c r="O18" s="25">
        <f t="shared" si="13"/>
        <v>0.31636231158067296</v>
      </c>
      <c r="P18" s="14">
        <f>IFERROR(IF(OR(B18&amp;C18="PAU",B18&amp;C18="AIN"),VLOOKUP(B18&amp;C18&amp;G18,#REF!,8,0),VLOOKUP(B18&amp;G18,#REF!,8,0)),0)</f>
        <v>0</v>
      </c>
      <c r="Q18" s="15">
        <f t="shared" si="14"/>
        <v>0.12191069502231</v>
      </c>
      <c r="R18" s="16" t="str">
        <f t="shared" si="15"/>
        <v>AOP</v>
      </c>
      <c r="S18" s="17">
        <f t="shared" si="16"/>
        <v>1830.123353674918</v>
      </c>
      <c r="T18" s="18">
        <f t="shared" si="17"/>
        <v>1830.123353674918</v>
      </c>
      <c r="U18" s="23">
        <f t="shared" si="4"/>
        <v>15012.000000000002</v>
      </c>
      <c r="Y18" s="8" t="str">
        <f t="shared" si="18"/>
        <v>ATHH63878J1.8UT</v>
      </c>
      <c r="Z18" s="8" t="str">
        <f>IF(Y18='Input - Bookings'!Q8,"OK","Check")</f>
        <v>Check</v>
      </c>
      <c r="AA18" s="118"/>
      <c r="AB18" s="103"/>
      <c r="AC18" s="103"/>
      <c r="AD18" s="100">
        <f t="shared" si="22"/>
        <v>12923.4084767893</v>
      </c>
      <c r="AE18" s="100"/>
      <c r="AF18" s="8" t="str">
        <f t="array" ref="AF18">_xlfn.XLOOKUP($G18,'AP Plants'!D:D,'AP Plants'!B:B)</f>
        <v>Class 1</v>
      </c>
      <c r="AG18" s="102"/>
      <c r="AH18" s="102">
        <f t="shared" si="10"/>
        <v>12923.4084767893</v>
      </c>
      <c r="AI18" s="44">
        <v>1.4999999999999999E-2</v>
      </c>
      <c r="AJ18" s="15">
        <f>_xlfn.XLOOKUP($AF18,Warranty!B:B,Warranty!E:E)</f>
        <v>5.0000000000000001E-3</v>
      </c>
      <c r="AK18" s="8">
        <f>IF($I18="AUD",VLOOKUP(RIGHT('Wk - Margins'!$G18,3),'AU Freight'!C:G,5,0),0)</f>
        <v>0</v>
      </c>
      <c r="AL18" s="15">
        <f t="shared" si="19"/>
        <v>0</v>
      </c>
      <c r="AM18" s="61">
        <f t="shared" si="20"/>
        <v>13181.876646325083</v>
      </c>
      <c r="AN18" s="63">
        <f t="shared" si="21"/>
        <v>0.12191069502231</v>
      </c>
      <c r="AQ18" s="147"/>
    </row>
    <row r="19" spans="1:43">
      <c r="A19" s="10" t="str">
        <f>'Input - Bookings'!A19</f>
        <v>10-02</v>
      </c>
      <c r="B19" s="11" t="str">
        <f>'Input - Bookings'!C19</f>
        <v>A</v>
      </c>
      <c r="C19" s="11" t="str">
        <f>'Input - Bookings'!H19</f>
        <v>TH</v>
      </c>
      <c r="D19" s="24" t="str">
        <f>'Input - Bookings'!E19</f>
        <v>065</v>
      </c>
      <c r="E19" s="24" t="str">
        <f>'Input - Bookings'!G19</f>
        <v>DILOK AND SONS CO.,LTD.</v>
      </c>
      <c r="F19" s="146" t="str">
        <f>'Input - Bookings'!I19</f>
        <v>H63879</v>
      </c>
      <c r="G19" s="24" t="str">
        <f>'Input - Bookings'!L19</f>
        <v>A3C4</v>
      </c>
      <c r="H19" s="24" t="str">
        <f>'Input - Bookings'!M19</f>
        <v>J1.8UT</v>
      </c>
      <c r="I19" s="24" t="str">
        <f>'Input - Bookings'!B19</f>
        <v>USD</v>
      </c>
      <c r="J19" s="13" t="str">
        <f>IF(I19="USD",INDEX('AP Plants'!A:A,MATCH(G19,'AP Plants'!D:D,0)),INDEX('Australia Plants'!A:A,MATCH(G19,'Australia Plants'!D:D,0)))</f>
        <v>Maximal</v>
      </c>
      <c r="K19" s="73">
        <v>1</v>
      </c>
      <c r="L19" s="97">
        <v>23339</v>
      </c>
      <c r="M19" s="97">
        <v>16060.800000000001</v>
      </c>
      <c r="N19" s="99">
        <v>0.13175120053033273</v>
      </c>
      <c r="O19" s="25">
        <f t="shared" si="13"/>
        <v>0.31184712284159555</v>
      </c>
      <c r="P19" s="14">
        <f>IFERROR(IF(OR(B19&amp;C19="PAU",B19&amp;C19="AIN"),VLOOKUP(B19&amp;C19&amp;G19,#REF!,8,0),VLOOKUP(B19&amp;G19,#REF!,8,0)),0)</f>
        <v>0</v>
      </c>
      <c r="Q19" s="15">
        <f t="shared" si="14"/>
        <v>0.13175120053033273</v>
      </c>
      <c r="R19" s="16" t="str">
        <f t="shared" si="15"/>
        <v>AOP</v>
      </c>
      <c r="S19" s="17">
        <f t="shared" si="16"/>
        <v>2116.0296814775679</v>
      </c>
      <c r="T19" s="18">
        <f t="shared" si="17"/>
        <v>2116.0296814775679</v>
      </c>
      <c r="U19" s="23">
        <f t="shared" si="4"/>
        <v>16060.800000000001</v>
      </c>
      <c r="Y19" s="8" t="str">
        <f t="shared" si="18"/>
        <v>ATHH63879J1.8UT</v>
      </c>
      <c r="Z19" s="8" t="str">
        <f>IF(Y19='Input - Bookings'!Q9,"OK","Check")</f>
        <v>Check</v>
      </c>
      <c r="AA19" s="118"/>
      <c r="AB19" s="103"/>
      <c r="AC19" s="103"/>
      <c r="AD19" s="100">
        <f>13471.3434495318+200</f>
        <v>13671.3434495318</v>
      </c>
      <c r="AE19" s="100"/>
      <c r="AF19" s="8" t="str">
        <f t="array" ref="AF19">_xlfn.XLOOKUP($G19,'AP Plants'!D:D,'AP Plants'!B:B)</f>
        <v>Class 1</v>
      </c>
      <c r="AG19" s="102"/>
      <c r="AH19" s="102">
        <f t="shared" si="10"/>
        <v>13671.3434495318</v>
      </c>
      <c r="AI19" s="44">
        <v>1.4999999999999999E-2</v>
      </c>
      <c r="AJ19" s="15">
        <f>_xlfn.XLOOKUP($AF19,Warranty!B:B,Warranty!E:E)</f>
        <v>5.0000000000000001E-3</v>
      </c>
      <c r="AK19" s="8">
        <f>IF($I19="AUD",VLOOKUP(RIGHT('Wk - Margins'!$G19,3),'AU Freight'!C:G,5,0),0)</f>
        <v>0</v>
      </c>
      <c r="AL19" s="15">
        <f t="shared" si="19"/>
        <v>0</v>
      </c>
      <c r="AM19" s="61">
        <f t="shared" si="20"/>
        <v>13944.770318522433</v>
      </c>
      <c r="AN19" s="63">
        <f t="shared" si="21"/>
        <v>0.13175120053033273</v>
      </c>
      <c r="AQ19" s="147"/>
    </row>
    <row r="20" spans="1:43">
      <c r="A20" s="10" t="str">
        <f>'Input - Bookings'!A20</f>
        <v>10-02</v>
      </c>
      <c r="B20" s="11" t="str">
        <f>'Input - Bookings'!C20</f>
        <v>A</v>
      </c>
      <c r="C20" s="11" t="str">
        <f>'Input - Bookings'!H20</f>
        <v>TH</v>
      </c>
      <c r="D20" s="24" t="str">
        <f>'Input - Bookings'!E20</f>
        <v>065</v>
      </c>
      <c r="E20" s="24" t="str">
        <f>'Input - Bookings'!G20</f>
        <v>DILOK AND SONS CO.,LTD.</v>
      </c>
      <c r="F20" s="146" t="str">
        <f>'Input - Bookings'!I20</f>
        <v>H63880</v>
      </c>
      <c r="G20" s="24" t="str">
        <f>'Input - Bookings'!L20</f>
        <v>A3C4</v>
      </c>
      <c r="H20" s="24" t="str">
        <f>'Input - Bookings'!M20</f>
        <v>J1.8UT</v>
      </c>
      <c r="I20" s="24" t="str">
        <f>'Input - Bookings'!B20</f>
        <v>USD</v>
      </c>
      <c r="J20" s="13" t="str">
        <f>IF(I20="USD",INDEX('AP Plants'!A:A,MATCH(G20,'AP Plants'!D:D,0)),INDEX('Australia Plants'!A:A,MATCH(G20,'Australia Plants'!D:D,0)))</f>
        <v>Maximal</v>
      </c>
      <c r="K20" s="73">
        <v>1</v>
      </c>
      <c r="L20" s="97">
        <v>23339</v>
      </c>
      <c r="M20" s="97">
        <v>16060.800000000001</v>
      </c>
      <c r="N20" s="99">
        <v>0.13175120053033273</v>
      </c>
      <c r="O20" s="25">
        <f t="shared" si="13"/>
        <v>0.31184712284159555</v>
      </c>
      <c r="P20" s="14">
        <f>IFERROR(IF(OR(B20&amp;C20="PAU",B20&amp;C20="AIN"),VLOOKUP(B20&amp;C20&amp;G20,#REF!,8,0),VLOOKUP(B20&amp;G20,#REF!,8,0)),0)</f>
        <v>0</v>
      </c>
      <c r="Q20" s="15">
        <f t="shared" si="14"/>
        <v>0.13175120053033273</v>
      </c>
      <c r="R20" s="16" t="str">
        <f t="shared" si="15"/>
        <v>AOP</v>
      </c>
      <c r="S20" s="17">
        <f t="shared" si="16"/>
        <v>2116.0296814775679</v>
      </c>
      <c r="T20" s="18">
        <f t="shared" si="17"/>
        <v>2116.0296814775679</v>
      </c>
      <c r="U20" s="23">
        <f t="shared" si="4"/>
        <v>16060.800000000001</v>
      </c>
      <c r="Y20" s="8" t="str">
        <f t="shared" si="18"/>
        <v>ATHH63880J1.8UT</v>
      </c>
      <c r="Z20" s="8" t="str">
        <f>IF(Y20='Input - Bookings'!Q10,"OK","Check")</f>
        <v>Check</v>
      </c>
      <c r="AA20" s="118"/>
      <c r="AB20" s="103"/>
      <c r="AC20" s="103"/>
      <c r="AD20" s="100">
        <f>13471.3434495318+200</f>
        <v>13671.3434495318</v>
      </c>
      <c r="AE20" s="98"/>
      <c r="AF20" s="8" t="str">
        <f t="array" ref="AF20">_xlfn.XLOOKUP($G20,'AP Plants'!D:D,'AP Plants'!B:B)</f>
        <v>Class 1</v>
      </c>
      <c r="AG20" s="102"/>
      <c r="AH20" s="102">
        <f t="shared" si="10"/>
        <v>13671.3434495318</v>
      </c>
      <c r="AI20" s="44">
        <v>1.4999999999999999E-2</v>
      </c>
      <c r="AJ20" s="15">
        <f>_xlfn.XLOOKUP($AF20,Warranty!B:B,Warranty!E:E)</f>
        <v>5.0000000000000001E-3</v>
      </c>
      <c r="AK20" s="8">
        <f>IF($I20="AUD",VLOOKUP(RIGHT('Wk - Margins'!$G20,3),'AU Freight'!C:G,5,0),0)</f>
        <v>0</v>
      </c>
      <c r="AL20" s="15">
        <f t="shared" si="19"/>
        <v>0</v>
      </c>
      <c r="AM20" s="61">
        <f t="shared" si="20"/>
        <v>13944.770318522433</v>
      </c>
      <c r="AN20" s="63">
        <f t="shared" si="21"/>
        <v>0.13175120053033273</v>
      </c>
      <c r="AQ20" s="147"/>
    </row>
    <row r="21" spans="1:43">
      <c r="A21" s="10" t="str">
        <f>'Input - Bookings'!A21</f>
        <v>10-02</v>
      </c>
      <c r="B21" s="11" t="str">
        <f>'Input - Bookings'!C21</f>
        <v>A</v>
      </c>
      <c r="C21" s="11" t="str">
        <f>'Input - Bookings'!H21</f>
        <v>TH</v>
      </c>
      <c r="D21" s="24" t="str">
        <f>'Input - Bookings'!E21</f>
        <v>065</v>
      </c>
      <c r="E21" s="24" t="str">
        <f>'Input - Bookings'!G21</f>
        <v>DILOK AND SONS CO.,LTD.</v>
      </c>
      <c r="F21" s="146" t="str">
        <f>'Input - Bookings'!I21</f>
        <v>H63881</v>
      </c>
      <c r="G21" s="24" t="str">
        <f>'Input - Bookings'!L21</f>
        <v>A3C4</v>
      </c>
      <c r="H21" s="24" t="str">
        <f>'Input - Bookings'!M21</f>
        <v>J1.8UT</v>
      </c>
      <c r="I21" s="24" t="str">
        <f>'Input - Bookings'!B21</f>
        <v>USD</v>
      </c>
      <c r="J21" s="13" t="str">
        <f>IF(I21="USD",INDEX('AP Plants'!A:A,MATCH(G21,'AP Plants'!D:D,0)),INDEX('Australia Plants'!A:A,MATCH(G21,'Australia Plants'!D:D,0)))</f>
        <v>Maximal</v>
      </c>
      <c r="K21" s="73">
        <v>1</v>
      </c>
      <c r="L21" s="97">
        <v>23339</v>
      </c>
      <c r="M21" s="97">
        <v>16060.800000000001</v>
      </c>
      <c r="N21" s="99">
        <v>0.13175120053033273</v>
      </c>
      <c r="O21" s="25">
        <f t="shared" si="13"/>
        <v>0.31184712284159555</v>
      </c>
      <c r="P21" s="14">
        <f>IFERROR(IF(OR(B21&amp;C21="PAU",B21&amp;C21="AIN"),VLOOKUP(B21&amp;C21&amp;G21,#REF!,8,0),VLOOKUP(B21&amp;G21,#REF!,8,0)),0)</f>
        <v>0</v>
      </c>
      <c r="Q21" s="15">
        <f t="shared" si="14"/>
        <v>0.13175120053033273</v>
      </c>
      <c r="R21" s="16" t="str">
        <f t="shared" si="15"/>
        <v>AOP</v>
      </c>
      <c r="S21" s="17">
        <f t="shared" si="16"/>
        <v>2116.0296814775679</v>
      </c>
      <c r="T21" s="18">
        <f t="shared" si="17"/>
        <v>2116.0296814775679</v>
      </c>
      <c r="U21" s="23">
        <f t="shared" si="4"/>
        <v>16060.800000000001</v>
      </c>
      <c r="Y21" s="8" t="str">
        <f t="shared" si="18"/>
        <v>ATHH63881J1.8UT</v>
      </c>
      <c r="Z21" s="8" t="str">
        <f>IF(Y21='Input - Bookings'!Q11,"OK","Check")</f>
        <v>Check</v>
      </c>
      <c r="AA21" s="118"/>
      <c r="AB21" s="103"/>
      <c r="AC21" s="103"/>
      <c r="AD21" s="100">
        <f>13471.3434495318+200</f>
        <v>13671.3434495318</v>
      </c>
      <c r="AE21" s="98"/>
      <c r="AF21" s="8" t="str">
        <f t="array" ref="AF21">_xlfn.XLOOKUP($G21,'AP Plants'!D:D,'AP Plants'!B:B)</f>
        <v>Class 1</v>
      </c>
      <c r="AG21" s="102"/>
      <c r="AH21" s="102">
        <f t="shared" si="10"/>
        <v>13671.3434495318</v>
      </c>
      <c r="AI21" s="44">
        <v>1.4999999999999999E-2</v>
      </c>
      <c r="AJ21" s="15">
        <f>_xlfn.XLOOKUP($AF21,Warranty!B:B,Warranty!E:E)</f>
        <v>5.0000000000000001E-3</v>
      </c>
      <c r="AK21" s="8">
        <f>IF($I21="AUD",VLOOKUP(RIGHT('Wk - Margins'!$G21,3),'AU Freight'!C:G,5,0),0)</f>
        <v>0</v>
      </c>
      <c r="AL21" s="15">
        <f t="shared" si="19"/>
        <v>0</v>
      </c>
      <c r="AM21" s="61">
        <f t="shared" si="20"/>
        <v>13944.770318522433</v>
      </c>
      <c r="AN21" s="63">
        <f t="shared" si="21"/>
        <v>0.13175120053033273</v>
      </c>
      <c r="AQ21" s="147"/>
    </row>
    <row r="22" spans="1:43">
      <c r="A22" s="10" t="str">
        <f>'Input - Bookings'!A22</f>
        <v>10-02</v>
      </c>
      <c r="B22" s="11" t="str">
        <f>'Input - Bookings'!C22</f>
        <v>A</v>
      </c>
      <c r="C22" s="11" t="str">
        <f>'Input - Bookings'!H22</f>
        <v>TH</v>
      </c>
      <c r="D22" s="24" t="str">
        <f>'Input - Bookings'!E22</f>
        <v>065</v>
      </c>
      <c r="E22" s="24" t="str">
        <f>'Input - Bookings'!G22</f>
        <v>DILOK AND SONS CO.,LTD.</v>
      </c>
      <c r="F22" s="146" t="str">
        <f>'Input - Bookings'!I22</f>
        <v>H63882</v>
      </c>
      <c r="G22" s="24" t="str">
        <f>'Input - Bookings'!L22</f>
        <v>A3C4</v>
      </c>
      <c r="H22" s="24" t="str">
        <f>'Input - Bookings'!M22</f>
        <v>J1.8UT</v>
      </c>
      <c r="I22" s="24" t="str">
        <f>'Input - Bookings'!B22</f>
        <v>USD</v>
      </c>
      <c r="J22" s="13" t="str">
        <f>IF(I22="USD",INDEX('AP Plants'!A:A,MATCH(G22,'AP Plants'!D:D,0)),INDEX('Australia Plants'!A:A,MATCH(G22,'Australia Plants'!D:D,0)))</f>
        <v>Maximal</v>
      </c>
      <c r="K22" s="73">
        <v>1</v>
      </c>
      <c r="L22" s="97">
        <v>23339</v>
      </c>
      <c r="M22" s="97">
        <v>16060.800000000001</v>
      </c>
      <c r="N22" s="99">
        <v>0.13175120053033273</v>
      </c>
      <c r="O22" s="25">
        <f t="shared" si="13"/>
        <v>0.31184712284159555</v>
      </c>
      <c r="P22" s="14">
        <f>IFERROR(IF(OR(B22&amp;C22="PAU",B22&amp;C22="AIN"),VLOOKUP(B22&amp;C22&amp;G22,#REF!,8,0),VLOOKUP(B22&amp;G22,#REF!,8,0)),0)</f>
        <v>0</v>
      </c>
      <c r="Q22" s="15">
        <f t="shared" si="14"/>
        <v>0.13175120053033273</v>
      </c>
      <c r="R22" s="16" t="str">
        <f t="shared" si="15"/>
        <v>AOP</v>
      </c>
      <c r="S22" s="17">
        <f t="shared" si="16"/>
        <v>2116.0296814775679</v>
      </c>
      <c r="T22" s="18">
        <f t="shared" si="17"/>
        <v>2116.0296814775679</v>
      </c>
      <c r="U22" s="23">
        <f t="shared" si="4"/>
        <v>16060.800000000001</v>
      </c>
      <c r="Y22" s="8" t="str">
        <f t="shared" si="18"/>
        <v>ATHH63882J1.8UT</v>
      </c>
      <c r="Z22" s="8" t="str">
        <f>IF(Y22='Input - Bookings'!Q12,"OK","Check")</f>
        <v>Check</v>
      </c>
      <c r="AA22" s="118"/>
      <c r="AB22" s="103"/>
      <c r="AC22" s="103"/>
      <c r="AD22" s="100">
        <f>13471.3434495318+200</f>
        <v>13671.3434495318</v>
      </c>
      <c r="AE22" s="98"/>
      <c r="AF22" s="8" t="str">
        <f t="array" ref="AF22">_xlfn.XLOOKUP($G22,'AP Plants'!D:D,'AP Plants'!B:B)</f>
        <v>Class 1</v>
      </c>
      <c r="AG22" s="102"/>
      <c r="AH22" s="102">
        <f t="shared" si="10"/>
        <v>13671.3434495318</v>
      </c>
      <c r="AI22" s="44">
        <v>1.4999999999999999E-2</v>
      </c>
      <c r="AJ22" s="15">
        <f>_xlfn.XLOOKUP($AF22,Warranty!B:B,Warranty!E:E)</f>
        <v>5.0000000000000001E-3</v>
      </c>
      <c r="AK22" s="8">
        <f>IF($I22="AUD",VLOOKUP(RIGHT('Wk - Margins'!$G22,3),'AU Freight'!C:G,5,0),0)</f>
        <v>0</v>
      </c>
      <c r="AL22" s="15">
        <f t="shared" si="19"/>
        <v>0</v>
      </c>
      <c r="AM22" s="61">
        <f t="shared" si="20"/>
        <v>13944.770318522433</v>
      </c>
      <c r="AN22" s="63">
        <f t="shared" si="21"/>
        <v>0.13175120053033273</v>
      </c>
      <c r="AQ22" s="147"/>
    </row>
    <row r="23" spans="1:43">
      <c r="A23" s="10" t="str">
        <f>'Input - Bookings'!A23</f>
        <v>10-02</v>
      </c>
      <c r="B23" s="11" t="str">
        <f>'Input - Bookings'!C23</f>
        <v>A</v>
      </c>
      <c r="C23" s="11" t="str">
        <f>'Input - Bookings'!H23</f>
        <v>TH</v>
      </c>
      <c r="D23" s="24" t="str">
        <f>'Input - Bookings'!E23</f>
        <v>065</v>
      </c>
      <c r="E23" s="24" t="str">
        <f>'Input - Bookings'!G23</f>
        <v>DILOK AND SONS CO.,LTD.</v>
      </c>
      <c r="F23" s="146" t="str">
        <f>'Input - Bookings'!I23</f>
        <v>H63883</v>
      </c>
      <c r="G23" s="24" t="str">
        <f>'Input - Bookings'!L23</f>
        <v>A3C4</v>
      </c>
      <c r="H23" s="24" t="str">
        <f>'Input - Bookings'!M23</f>
        <v>J1.8UT</v>
      </c>
      <c r="I23" s="24" t="str">
        <f>'Input - Bookings'!B23</f>
        <v>USD</v>
      </c>
      <c r="J23" s="13" t="str">
        <f>IF(I23="USD",INDEX('AP Plants'!A:A,MATCH(G23,'AP Plants'!D:D,0)),INDEX('Australia Plants'!A:A,MATCH(G23,'Australia Plants'!D:D,0)))</f>
        <v>Maximal</v>
      </c>
      <c r="K23" s="73">
        <v>1</v>
      </c>
      <c r="L23" s="97">
        <v>23339</v>
      </c>
      <c r="M23" s="97">
        <v>16060.800000000001</v>
      </c>
      <c r="N23" s="99">
        <v>0.13175120053033273</v>
      </c>
      <c r="O23" s="25">
        <f t="shared" si="13"/>
        <v>0.31184712284159555</v>
      </c>
      <c r="P23" s="14">
        <f>IFERROR(IF(OR(B23&amp;C23="PAU",B23&amp;C23="AIN"),VLOOKUP(B23&amp;C23&amp;G23,#REF!,8,0),VLOOKUP(B23&amp;G23,#REF!,8,0)),0)</f>
        <v>0</v>
      </c>
      <c r="Q23" s="15">
        <f t="shared" si="14"/>
        <v>0.13175120053033273</v>
      </c>
      <c r="R23" s="16" t="str">
        <f t="shared" si="15"/>
        <v>AOP</v>
      </c>
      <c r="S23" s="17">
        <f t="shared" si="16"/>
        <v>2116.0296814775679</v>
      </c>
      <c r="T23" s="18">
        <f t="shared" si="17"/>
        <v>2116.0296814775679</v>
      </c>
      <c r="U23" s="23">
        <f t="shared" si="4"/>
        <v>16060.800000000001</v>
      </c>
      <c r="Y23" s="8" t="str">
        <f t="shared" si="18"/>
        <v>ATHH63883J1.8UT</v>
      </c>
      <c r="Z23" s="8" t="str">
        <f>IF(Y23='Input - Bookings'!Q29,"OK","Check")</f>
        <v>Check</v>
      </c>
      <c r="AA23" s="118"/>
      <c r="AB23" s="103"/>
      <c r="AC23" s="103"/>
      <c r="AD23" s="100">
        <f>13471.3434495318+200</f>
        <v>13671.3434495318</v>
      </c>
      <c r="AE23" s="98"/>
      <c r="AF23" s="31" t="str">
        <f t="array" ref="AF23">_xlfn.XLOOKUP($G23,'AP Plants'!D:D,'AP Plants'!B:B)</f>
        <v>Class 1</v>
      </c>
      <c r="AG23" s="102"/>
      <c r="AH23" s="102">
        <f t="shared" si="10"/>
        <v>13671.3434495318</v>
      </c>
      <c r="AI23" s="44">
        <v>1.4999999999999999E-2</v>
      </c>
      <c r="AJ23" s="15">
        <f>_xlfn.XLOOKUP($AF23,Warranty!B:B,Warranty!E:E)</f>
        <v>5.0000000000000001E-3</v>
      </c>
      <c r="AK23" s="8">
        <f>IF($I23="AUD",VLOOKUP(RIGHT('Wk - Margins'!$G23,3),'AU Freight'!C:G,5,0),0)</f>
        <v>0</v>
      </c>
      <c r="AL23" s="15">
        <f t="shared" si="19"/>
        <v>0</v>
      </c>
      <c r="AM23" s="61">
        <f t="shared" si="20"/>
        <v>13944.770318522433</v>
      </c>
      <c r="AN23" s="63">
        <f t="shared" si="21"/>
        <v>0.13175120053033273</v>
      </c>
      <c r="AQ23" s="147"/>
    </row>
    <row r="24" spans="1:43">
      <c r="A24" s="10" t="str">
        <f>'Input - Bookings'!A24</f>
        <v>10-02</v>
      </c>
      <c r="B24" s="11" t="str">
        <f>'Input - Bookings'!C24</f>
        <v>A</v>
      </c>
      <c r="C24" s="11" t="str">
        <f>'Input - Bookings'!H24</f>
        <v>ID</v>
      </c>
      <c r="D24" s="24" t="str">
        <f>'Input - Bookings'!E24</f>
        <v>067</v>
      </c>
      <c r="E24" s="24" t="str">
        <f>'Input - Bookings'!G24</f>
        <v>PT UNIVERSAL TRAKTOR</v>
      </c>
      <c r="F24" s="146" t="str">
        <f>'Input - Bookings'!I24</f>
        <v>H63746</v>
      </c>
      <c r="G24" s="24" t="str">
        <f>'Input - Bookings'!L24</f>
        <v>A3D4</v>
      </c>
      <c r="H24" s="24" t="str">
        <f>'Input - Bookings'!M24</f>
        <v>MPC15</v>
      </c>
      <c r="I24" s="24" t="str">
        <f>'Input - Bookings'!B24</f>
        <v>USD</v>
      </c>
      <c r="J24" s="13" t="str">
        <f>IF(I24="USD",INDEX('AP Plants'!A:A,MATCH(G24,'AP Plants'!D:D,0)),INDEX('Australia Plants'!A:A,MATCH(G24,'Australia Plants'!D:D,0)))</f>
        <v>Staxx</v>
      </c>
      <c r="K24" s="73">
        <v>1</v>
      </c>
      <c r="L24" s="97">
        <v>1440</v>
      </c>
      <c r="M24" s="97">
        <v>1005</v>
      </c>
      <c r="N24" s="99">
        <v>0.33143206009379156</v>
      </c>
      <c r="O24" s="25">
        <f t="shared" si="13"/>
        <v>0.30208333333333337</v>
      </c>
      <c r="P24" s="14">
        <f>IFERROR(IF(OR(B24&amp;C24="PAU",B24&amp;C24="AIN"),VLOOKUP(B24&amp;C24&amp;G24,#REF!,8,0),VLOOKUP(B24&amp;G24,#REF!,8,0)),0)</f>
        <v>0</v>
      </c>
      <c r="Q24" s="15">
        <f t="shared" si="14"/>
        <v>0.33143206009379156</v>
      </c>
      <c r="R24" s="16" t="str">
        <f t="shared" si="15"/>
        <v>AOP</v>
      </c>
      <c r="S24" s="17">
        <f t="shared" si="16"/>
        <v>333.08922039426051</v>
      </c>
      <c r="T24" s="18">
        <f t="shared" si="17"/>
        <v>333.08922039426051</v>
      </c>
      <c r="U24" s="23">
        <f t="shared" si="4"/>
        <v>1005</v>
      </c>
      <c r="Y24" s="8" t="str">
        <f t="shared" si="18"/>
        <v>AIDH63746MPC15</v>
      </c>
      <c r="Z24" s="8" t="str">
        <f>IF(Y24='Input - Bookings'!Q14,"OK","Check")</f>
        <v>Check</v>
      </c>
      <c r="AA24" s="139"/>
      <c r="AB24" s="103"/>
      <c r="AC24" s="103"/>
      <c r="AD24" s="100">
        <f>642.340562724019+10</f>
        <v>652.34056272401904</v>
      </c>
      <c r="AE24" s="98"/>
      <c r="AF24" s="8" t="str">
        <f t="array" ref="AF24">_xlfn.XLOOKUP($G24,'AP Plants'!D:D,'AP Plants'!B:B)</f>
        <v>Class 3</v>
      </c>
      <c r="AG24" s="102"/>
      <c r="AH24" s="102">
        <f t="shared" si="10"/>
        <v>652.34056272401904</v>
      </c>
      <c r="AI24" s="44">
        <v>1.4999999999999999E-2</v>
      </c>
      <c r="AJ24" s="15">
        <f>_xlfn.XLOOKUP($AF24,Warranty!B:B,Warranty!E:E)</f>
        <v>1.4999999999999999E-2</v>
      </c>
      <c r="AK24" s="8">
        <f>IF($I24="AUD",VLOOKUP(RIGHT('Wk - Margins'!$G24,3),'AU Freight'!C:G,5,0),0)</f>
        <v>0</v>
      </c>
      <c r="AL24" s="15">
        <f t="shared" si="19"/>
        <v>0</v>
      </c>
      <c r="AM24" s="61">
        <f t="shared" si="20"/>
        <v>671.91077960573944</v>
      </c>
      <c r="AN24" s="63">
        <f t="shared" si="21"/>
        <v>0.33143206009379156</v>
      </c>
      <c r="AQ24" s="147"/>
    </row>
    <row r="25" spans="1:43">
      <c r="A25" s="10" t="str">
        <f>'Input - Bookings'!A25</f>
        <v>10-02</v>
      </c>
      <c r="B25" s="11" t="str">
        <f>'Input - Bookings'!C25</f>
        <v>A</v>
      </c>
      <c r="C25" s="11" t="str">
        <f>'Input - Bookings'!H25</f>
        <v>ID</v>
      </c>
      <c r="D25" s="24" t="str">
        <f>'Input - Bookings'!E25</f>
        <v>067</v>
      </c>
      <c r="E25" s="24" t="str">
        <f>'Input - Bookings'!G25</f>
        <v>PT UNIVERSAL TRAKTOR</v>
      </c>
      <c r="F25" s="146" t="str">
        <f>'Input - Bookings'!I25</f>
        <v>H63747</v>
      </c>
      <c r="G25" s="24" t="str">
        <f>'Input - Bookings'!L25</f>
        <v>A3D4</v>
      </c>
      <c r="H25" s="24" t="str">
        <f>'Input - Bookings'!M25</f>
        <v>MPC15</v>
      </c>
      <c r="I25" s="24" t="str">
        <f>'Input - Bookings'!B25</f>
        <v>USD</v>
      </c>
      <c r="J25" s="13" t="str">
        <f>IF(I25="USD",INDEX('AP Plants'!A:A,MATCH(G25,'AP Plants'!D:D,0)),INDEX('Australia Plants'!A:A,MATCH(G25,'Australia Plants'!D:D,0)))</f>
        <v>Staxx</v>
      </c>
      <c r="K25" s="73">
        <v>1</v>
      </c>
      <c r="L25" s="97">
        <v>1440</v>
      </c>
      <c r="M25" s="97">
        <v>1005</v>
      </c>
      <c r="N25" s="99">
        <v>0.33143206009379156</v>
      </c>
      <c r="O25" s="25">
        <f t="shared" si="13"/>
        <v>0.30208333333333337</v>
      </c>
      <c r="P25" s="14">
        <f>IFERROR(IF(OR(B25&amp;C25="PAU",B25&amp;C25="AIN"),VLOOKUP(B25&amp;C25&amp;G25,#REF!,8,0),VLOOKUP(B25&amp;G25,#REF!,8,0)),0)</f>
        <v>0</v>
      </c>
      <c r="Q25" s="15">
        <f t="shared" si="14"/>
        <v>0.33143206009379156</v>
      </c>
      <c r="R25" s="16" t="str">
        <f t="shared" si="15"/>
        <v>AOP</v>
      </c>
      <c r="S25" s="17">
        <f t="shared" si="16"/>
        <v>333.08922039426051</v>
      </c>
      <c r="T25" s="18">
        <f t="shared" si="17"/>
        <v>333.08922039426051</v>
      </c>
      <c r="U25" s="23">
        <f t="shared" si="4"/>
        <v>1005</v>
      </c>
      <c r="Y25" s="8" t="str">
        <f t="shared" si="18"/>
        <v>AIDH63747MPC15</v>
      </c>
      <c r="Z25" s="8" t="str">
        <f>IF(Y25='Input - Bookings'!Q15,"OK","Check")</f>
        <v>Check</v>
      </c>
      <c r="AA25" s="140"/>
      <c r="AB25" s="103"/>
      <c r="AC25" s="103"/>
      <c r="AD25" s="100">
        <f t="shared" ref="AD25:AD53" si="23">642.340562724019+10</f>
        <v>652.34056272401904</v>
      </c>
      <c r="AE25" s="100"/>
      <c r="AF25" s="8" t="str">
        <f t="array" ref="AF25">_xlfn.XLOOKUP($G25,'AP Plants'!D:D,'AP Plants'!B:B)</f>
        <v>Class 3</v>
      </c>
      <c r="AG25" s="102"/>
      <c r="AH25" s="102">
        <f t="shared" si="10"/>
        <v>652.34056272401904</v>
      </c>
      <c r="AI25" s="44">
        <v>1.4999999999999999E-2</v>
      </c>
      <c r="AJ25" s="15">
        <f>_xlfn.XLOOKUP($AF25,Warranty!B:B,Warranty!E:E)</f>
        <v>1.4999999999999999E-2</v>
      </c>
      <c r="AK25" s="8">
        <f>IF($I25="AUD",VLOOKUP(RIGHT('Wk - Margins'!$G25,3),'AU Freight'!C:G,5,0),0)</f>
        <v>0</v>
      </c>
      <c r="AL25" s="15">
        <f t="shared" si="19"/>
        <v>0</v>
      </c>
      <c r="AM25" s="61">
        <f t="shared" si="20"/>
        <v>671.91077960573944</v>
      </c>
      <c r="AN25" s="63">
        <f t="shared" si="21"/>
        <v>0.33143206009379156</v>
      </c>
      <c r="AQ25" s="147"/>
    </row>
    <row r="26" spans="1:43">
      <c r="A26" s="10" t="str">
        <f>'Input - Bookings'!A26</f>
        <v>10-02</v>
      </c>
      <c r="B26" s="11" t="str">
        <f>'Input - Bookings'!C26</f>
        <v>A</v>
      </c>
      <c r="C26" s="11" t="str">
        <f>'Input - Bookings'!H26</f>
        <v>ID</v>
      </c>
      <c r="D26" s="24" t="str">
        <f>'Input - Bookings'!E26</f>
        <v>067</v>
      </c>
      <c r="E26" s="24" t="str">
        <f>'Input - Bookings'!G26</f>
        <v>PT UNIVERSAL TRAKTOR</v>
      </c>
      <c r="F26" s="146" t="str">
        <f>'Input - Bookings'!I26</f>
        <v>H63748</v>
      </c>
      <c r="G26" s="24" t="str">
        <f>'Input - Bookings'!L26</f>
        <v>A3D4</v>
      </c>
      <c r="H26" s="24" t="str">
        <f>'Input - Bookings'!M26</f>
        <v>MPC15</v>
      </c>
      <c r="I26" s="24" t="str">
        <f>'Input - Bookings'!B26</f>
        <v>USD</v>
      </c>
      <c r="J26" s="13" t="str">
        <f>IF(I26="USD",INDEX('AP Plants'!A:A,MATCH(G26,'AP Plants'!D:D,0)),INDEX('Australia Plants'!A:A,MATCH(G26,'Australia Plants'!D:D,0)))</f>
        <v>Staxx</v>
      </c>
      <c r="K26" s="73">
        <v>1</v>
      </c>
      <c r="L26" s="97">
        <v>1440</v>
      </c>
      <c r="M26" s="97">
        <v>1005</v>
      </c>
      <c r="N26" s="99">
        <v>0.33143206009379156</v>
      </c>
      <c r="O26" s="25">
        <f t="shared" si="13"/>
        <v>0.30208333333333337</v>
      </c>
      <c r="P26" s="14">
        <f>IFERROR(IF(OR(B26&amp;C26="PAU",B26&amp;C26="AIN"),VLOOKUP(B26&amp;C26&amp;G26,#REF!,8,0),VLOOKUP(B26&amp;G26,#REF!,8,0)),0)</f>
        <v>0</v>
      </c>
      <c r="Q26" s="15">
        <f t="shared" si="14"/>
        <v>0.33143206009379156</v>
      </c>
      <c r="R26" s="16" t="str">
        <f t="shared" si="15"/>
        <v>AOP</v>
      </c>
      <c r="S26" s="17">
        <f t="shared" si="16"/>
        <v>333.08922039426051</v>
      </c>
      <c r="T26" s="18">
        <f t="shared" si="17"/>
        <v>333.08922039426051</v>
      </c>
      <c r="U26" s="23">
        <f t="shared" si="4"/>
        <v>1005</v>
      </c>
      <c r="Y26" s="8" t="str">
        <f t="shared" si="18"/>
        <v>AIDH63748MPC15</v>
      </c>
      <c r="Z26" s="8" t="str">
        <f>IF(Y26='Input - Bookings'!Q16,"OK","Check")</f>
        <v>Check</v>
      </c>
      <c r="AA26" s="139"/>
      <c r="AB26" s="103"/>
      <c r="AC26" s="103"/>
      <c r="AD26" s="100">
        <f t="shared" si="23"/>
        <v>652.34056272401904</v>
      </c>
      <c r="AE26" s="98"/>
      <c r="AF26" s="8" t="str">
        <f t="array" ref="AF26">_xlfn.XLOOKUP($G26,'AP Plants'!D:D,'AP Plants'!B:B)</f>
        <v>Class 3</v>
      </c>
      <c r="AG26" s="102"/>
      <c r="AH26" s="102">
        <f t="shared" si="10"/>
        <v>652.34056272401904</v>
      </c>
      <c r="AI26" s="44">
        <v>1.4999999999999999E-2</v>
      </c>
      <c r="AJ26" s="15">
        <f>_xlfn.XLOOKUP($AF26,Warranty!B:B,Warranty!E:E)</f>
        <v>1.4999999999999999E-2</v>
      </c>
      <c r="AK26" s="8">
        <f>IF($I26="AUD",VLOOKUP(RIGHT('Wk - Margins'!$G26,3),'AU Freight'!C:G,5,0),0)</f>
        <v>0</v>
      </c>
      <c r="AL26" s="15">
        <f t="shared" si="19"/>
        <v>0</v>
      </c>
      <c r="AM26" s="61">
        <f t="shared" si="20"/>
        <v>671.91077960573944</v>
      </c>
      <c r="AN26" s="63">
        <f t="shared" si="21"/>
        <v>0.33143206009379156</v>
      </c>
      <c r="AQ26" s="147"/>
    </row>
    <row r="27" spans="1:43">
      <c r="A27" s="10" t="str">
        <f>'Input - Bookings'!A27</f>
        <v>10-02</v>
      </c>
      <c r="B27" s="11" t="str">
        <f>'Input - Bookings'!C27</f>
        <v>A</v>
      </c>
      <c r="C27" s="11" t="str">
        <f>'Input - Bookings'!H27</f>
        <v>ID</v>
      </c>
      <c r="D27" s="24" t="str">
        <f>'Input - Bookings'!E27</f>
        <v>067</v>
      </c>
      <c r="E27" s="24" t="str">
        <f>'Input - Bookings'!G27</f>
        <v>PT UNIVERSAL TRAKTOR</v>
      </c>
      <c r="F27" s="146" t="str">
        <f>'Input - Bookings'!I27</f>
        <v>H63749</v>
      </c>
      <c r="G27" s="24" t="str">
        <f>'Input - Bookings'!L27</f>
        <v>A3D4</v>
      </c>
      <c r="H27" s="24" t="str">
        <f>'Input - Bookings'!M27</f>
        <v>MPC15</v>
      </c>
      <c r="I27" s="24" t="str">
        <f>'Input - Bookings'!B27</f>
        <v>USD</v>
      </c>
      <c r="J27" s="13" t="str">
        <f>IF(I27="USD",INDEX('AP Plants'!A:A,MATCH(G27,'AP Plants'!D:D,0)),INDEX('Australia Plants'!A:A,MATCH(G27,'Australia Plants'!D:D,0)))</f>
        <v>Staxx</v>
      </c>
      <c r="K27" s="73">
        <v>1</v>
      </c>
      <c r="L27" s="97">
        <v>1440</v>
      </c>
      <c r="M27" s="97">
        <v>1005</v>
      </c>
      <c r="N27" s="99">
        <v>0.33143206009379156</v>
      </c>
      <c r="O27" s="25">
        <f t="shared" si="13"/>
        <v>0.30208333333333337</v>
      </c>
      <c r="P27" s="14">
        <f>IFERROR(IF(OR(B27&amp;C27="PAU",B27&amp;C27="AIN"),VLOOKUP(B27&amp;C27&amp;G27,#REF!,8,0),VLOOKUP(B27&amp;G27,#REF!,8,0)),0)</f>
        <v>0</v>
      </c>
      <c r="Q27" s="15">
        <f t="shared" si="14"/>
        <v>0.33143206009379156</v>
      </c>
      <c r="R27" s="16" t="str">
        <f t="shared" si="15"/>
        <v>AOP</v>
      </c>
      <c r="S27" s="17">
        <f t="shared" si="16"/>
        <v>333.08922039426051</v>
      </c>
      <c r="T27" s="18">
        <f t="shared" si="17"/>
        <v>333.08922039426051</v>
      </c>
      <c r="U27" s="23">
        <f t="shared" si="4"/>
        <v>1005</v>
      </c>
      <c r="Y27" s="8" t="str">
        <f t="shared" si="18"/>
        <v>AIDH63749MPC15</v>
      </c>
      <c r="Z27" s="8" t="str">
        <f>IF(Y27='Input - Bookings'!Q17,"OK","Check")</f>
        <v>Check</v>
      </c>
      <c r="AA27" s="139"/>
      <c r="AB27" s="103"/>
      <c r="AC27" s="103"/>
      <c r="AD27" s="100">
        <f t="shared" si="23"/>
        <v>652.34056272401904</v>
      </c>
      <c r="AE27" s="98"/>
      <c r="AF27" s="31" t="str">
        <f t="array" ref="AF27">_xlfn.XLOOKUP($G27,'AP Plants'!D:D,'AP Plants'!B:B)</f>
        <v>Class 3</v>
      </c>
      <c r="AG27" s="102"/>
      <c r="AH27" s="102">
        <f t="shared" si="10"/>
        <v>652.34056272401904</v>
      </c>
      <c r="AI27" s="44">
        <v>1.4999999999999999E-2</v>
      </c>
      <c r="AJ27" s="15">
        <f>_xlfn.XLOOKUP($AF27,Warranty!B:B,Warranty!E:E)</f>
        <v>1.4999999999999999E-2</v>
      </c>
      <c r="AK27" s="8">
        <f>IF($I27="AUD",VLOOKUP(RIGHT('Wk - Margins'!$G27,3),'AU Freight'!C:G,5,0),0)</f>
        <v>0</v>
      </c>
      <c r="AL27" s="15">
        <f t="shared" si="19"/>
        <v>0</v>
      </c>
      <c r="AM27" s="61">
        <f t="shared" si="20"/>
        <v>671.91077960573944</v>
      </c>
      <c r="AN27" s="63">
        <f t="shared" si="21"/>
        <v>0.33143206009379156</v>
      </c>
      <c r="AQ27" s="147"/>
    </row>
    <row r="28" spans="1:43">
      <c r="A28" s="10" t="str">
        <f>'Input - Bookings'!A28</f>
        <v>10-02</v>
      </c>
      <c r="B28" s="11" t="str">
        <f>'Input - Bookings'!C28</f>
        <v>A</v>
      </c>
      <c r="C28" s="11" t="str">
        <f>'Input - Bookings'!H28</f>
        <v>ID</v>
      </c>
      <c r="D28" s="24" t="str">
        <f>'Input - Bookings'!E28</f>
        <v>067</v>
      </c>
      <c r="E28" s="24" t="str">
        <f>'Input - Bookings'!G28</f>
        <v>PT UNIVERSAL TRAKTOR</v>
      </c>
      <c r="F28" s="146" t="str">
        <f>'Input - Bookings'!I28</f>
        <v>H63750</v>
      </c>
      <c r="G28" s="24" t="str">
        <f>'Input - Bookings'!L28</f>
        <v>A3D4</v>
      </c>
      <c r="H28" s="24" t="str">
        <f>'Input - Bookings'!M28</f>
        <v>MPC15</v>
      </c>
      <c r="I28" s="24" t="str">
        <f>'Input - Bookings'!B28</f>
        <v>USD</v>
      </c>
      <c r="J28" s="13" t="str">
        <f>IF(I28="USD",INDEX('AP Plants'!A:A,MATCH(G28,'AP Plants'!D:D,0)),INDEX('Australia Plants'!A:A,MATCH(G28,'Australia Plants'!D:D,0)))</f>
        <v>Staxx</v>
      </c>
      <c r="K28" s="73">
        <v>1</v>
      </c>
      <c r="L28" s="97">
        <v>1440</v>
      </c>
      <c r="M28" s="97">
        <v>1005</v>
      </c>
      <c r="N28" s="99">
        <v>0.33143206009379156</v>
      </c>
      <c r="O28" s="25">
        <f t="shared" si="13"/>
        <v>0.30208333333333337</v>
      </c>
      <c r="P28" s="14">
        <f>IFERROR(IF(OR(B28&amp;C28="PAU",B28&amp;C28="AIN"),VLOOKUP(B28&amp;C28&amp;G28,#REF!,8,0),VLOOKUP(B28&amp;G28,#REF!,8,0)),0)</f>
        <v>0</v>
      </c>
      <c r="Q28" s="15">
        <f t="shared" si="14"/>
        <v>0.33143206009379156</v>
      </c>
      <c r="R28" s="16" t="str">
        <f t="shared" si="15"/>
        <v>AOP</v>
      </c>
      <c r="S28" s="17">
        <f t="shared" si="16"/>
        <v>333.08922039426051</v>
      </c>
      <c r="T28" s="18">
        <f t="shared" si="17"/>
        <v>333.08922039426051</v>
      </c>
      <c r="U28" s="23">
        <f t="shared" si="4"/>
        <v>1005</v>
      </c>
      <c r="Y28" s="8" t="str">
        <f t="shared" si="18"/>
        <v>AIDH63750MPC15</v>
      </c>
      <c r="Z28" s="8" t="str">
        <f>IF(Y28='Input - Bookings'!Q18,"OK","Check")</f>
        <v>Check</v>
      </c>
      <c r="AA28" s="140"/>
      <c r="AB28" s="103"/>
      <c r="AC28" s="103"/>
      <c r="AD28" s="100">
        <f t="shared" si="23"/>
        <v>652.34056272401904</v>
      </c>
      <c r="AE28" s="100"/>
      <c r="AF28" s="31" t="str">
        <f t="array" ref="AF28">_xlfn.XLOOKUP($G28,'AP Plants'!D:D,'AP Plants'!B:B)</f>
        <v>Class 3</v>
      </c>
      <c r="AG28" s="102"/>
      <c r="AH28" s="102">
        <f t="shared" si="10"/>
        <v>652.34056272401904</v>
      </c>
      <c r="AI28" s="44">
        <v>1.4999999999999999E-2</v>
      </c>
      <c r="AJ28" s="15">
        <f>_xlfn.XLOOKUP($AF28,Warranty!B:B,Warranty!E:E)</f>
        <v>1.4999999999999999E-2</v>
      </c>
      <c r="AK28" s="8">
        <f>IF($I28="AUD",VLOOKUP(RIGHT('Wk - Margins'!$G28,3),'AU Freight'!C:G,5,0),0)</f>
        <v>0</v>
      </c>
      <c r="AL28" s="15">
        <f t="shared" si="19"/>
        <v>0</v>
      </c>
      <c r="AM28" s="61">
        <f t="shared" si="20"/>
        <v>671.91077960573944</v>
      </c>
      <c r="AN28" s="63">
        <f t="shared" si="21"/>
        <v>0.33143206009379156</v>
      </c>
      <c r="AQ28" s="147"/>
    </row>
    <row r="29" spans="1:43">
      <c r="A29" s="10" t="str">
        <f>'Input - Bookings'!A29</f>
        <v>10-02</v>
      </c>
      <c r="B29" s="11" t="str">
        <f>'Input - Bookings'!C29</f>
        <v>A</v>
      </c>
      <c r="C29" s="11" t="str">
        <f>'Input - Bookings'!H29</f>
        <v>ID</v>
      </c>
      <c r="D29" s="24" t="str">
        <f>'Input - Bookings'!E29</f>
        <v>067</v>
      </c>
      <c r="E29" s="24" t="str">
        <f>'Input - Bookings'!G29</f>
        <v>PT UNIVERSAL TRAKTOR</v>
      </c>
      <c r="F29" s="146" t="str">
        <f>'Input - Bookings'!I29</f>
        <v>H63751</v>
      </c>
      <c r="G29" s="24" t="str">
        <f>'Input - Bookings'!L29</f>
        <v>A3D4</v>
      </c>
      <c r="H29" s="24" t="str">
        <f>'Input - Bookings'!M29</f>
        <v>MPC15</v>
      </c>
      <c r="I29" s="24" t="str">
        <f>'Input - Bookings'!B29</f>
        <v>USD</v>
      </c>
      <c r="J29" s="13" t="str">
        <f>IF(I29="USD",INDEX('AP Plants'!A:A,MATCH(G29,'AP Plants'!D:D,0)),INDEX('Australia Plants'!A:A,MATCH(G29,'Australia Plants'!D:D,0)))</f>
        <v>Staxx</v>
      </c>
      <c r="K29" s="73">
        <v>1</v>
      </c>
      <c r="L29" s="97">
        <v>1440</v>
      </c>
      <c r="M29" s="97">
        <v>1005</v>
      </c>
      <c r="N29" s="99">
        <v>0.33143206009379156</v>
      </c>
      <c r="O29" s="25">
        <f t="shared" si="13"/>
        <v>0.30208333333333337</v>
      </c>
      <c r="P29" s="14">
        <f>IFERROR(IF(OR(B29&amp;C29="PAU",B29&amp;C29="AIN"),VLOOKUP(B29&amp;C29&amp;G29,#REF!,8,0),VLOOKUP(B29&amp;G29,#REF!,8,0)),0)</f>
        <v>0</v>
      </c>
      <c r="Q29" s="15">
        <f t="shared" si="14"/>
        <v>0.33143206009379156</v>
      </c>
      <c r="R29" s="16" t="str">
        <f t="shared" si="15"/>
        <v>AOP</v>
      </c>
      <c r="S29" s="17">
        <f t="shared" si="16"/>
        <v>333.08922039426051</v>
      </c>
      <c r="T29" s="18">
        <f t="shared" si="17"/>
        <v>333.08922039426051</v>
      </c>
      <c r="U29" s="23">
        <f t="shared" si="4"/>
        <v>1005</v>
      </c>
      <c r="Y29" s="8" t="str">
        <f t="shared" si="18"/>
        <v>AIDH63751MPC15</v>
      </c>
      <c r="Z29" s="8" t="str">
        <f>IF(Y29='Input - Bookings'!Q19,"OK","Check")</f>
        <v>Check</v>
      </c>
      <c r="AA29" s="139"/>
      <c r="AB29" s="103"/>
      <c r="AC29" s="103"/>
      <c r="AD29" s="100">
        <f t="shared" si="23"/>
        <v>652.34056272401904</v>
      </c>
      <c r="AE29" s="100"/>
      <c r="AF29" s="8" t="str">
        <f t="array" ref="AF29">_xlfn.XLOOKUP($G29,'AP Plants'!D:D,'AP Plants'!B:B)</f>
        <v>Class 3</v>
      </c>
      <c r="AG29" s="102"/>
      <c r="AH29" s="102">
        <f t="shared" si="10"/>
        <v>652.34056272401904</v>
      </c>
      <c r="AI29" s="44">
        <v>1.4999999999999999E-2</v>
      </c>
      <c r="AJ29" s="15">
        <f>_xlfn.XLOOKUP($AF29,Warranty!B:B,Warranty!E:E)</f>
        <v>1.4999999999999999E-2</v>
      </c>
      <c r="AK29" s="8">
        <f>IF($I29="AUD",VLOOKUP(RIGHT('Wk - Margins'!$G29,3),'AU Freight'!C:G,5,0),0)</f>
        <v>0</v>
      </c>
      <c r="AL29" s="15">
        <f t="shared" si="19"/>
        <v>0</v>
      </c>
      <c r="AM29" s="61">
        <f t="shared" si="20"/>
        <v>671.91077960573944</v>
      </c>
      <c r="AN29" s="63">
        <f t="shared" si="21"/>
        <v>0.33143206009379156</v>
      </c>
      <c r="AQ29" s="147"/>
    </row>
    <row r="30" spans="1:43">
      <c r="A30" s="10" t="str">
        <f>'Input - Bookings'!A30</f>
        <v>10-02</v>
      </c>
      <c r="B30" s="11" t="str">
        <f>'Input - Bookings'!C30</f>
        <v>A</v>
      </c>
      <c r="C30" s="11" t="str">
        <f>'Input - Bookings'!H30</f>
        <v>ID</v>
      </c>
      <c r="D30" s="24" t="str">
        <f>'Input - Bookings'!E30</f>
        <v>067</v>
      </c>
      <c r="E30" s="24" t="str">
        <f>'Input - Bookings'!G30</f>
        <v>PT UNIVERSAL TRAKTOR</v>
      </c>
      <c r="F30" s="146" t="str">
        <f>'Input - Bookings'!I30</f>
        <v>H63752</v>
      </c>
      <c r="G30" s="24" t="str">
        <f>'Input - Bookings'!L30</f>
        <v>A3D4</v>
      </c>
      <c r="H30" s="24" t="str">
        <f>'Input - Bookings'!M30</f>
        <v>MPC15</v>
      </c>
      <c r="I30" s="24" t="str">
        <f>'Input - Bookings'!B30</f>
        <v>USD</v>
      </c>
      <c r="J30" s="13" t="str">
        <f>IF(I30="USD",INDEX('AP Plants'!A:A,MATCH(G30,'AP Plants'!D:D,0)),INDEX('Australia Plants'!A:A,MATCH(G30,'Australia Plants'!D:D,0)))</f>
        <v>Staxx</v>
      </c>
      <c r="K30" s="73">
        <v>1</v>
      </c>
      <c r="L30" s="97">
        <v>1440</v>
      </c>
      <c r="M30" s="97">
        <v>1005</v>
      </c>
      <c r="N30" s="99">
        <v>0.33143206009379156</v>
      </c>
      <c r="O30" s="25">
        <f t="shared" si="13"/>
        <v>0.30208333333333337</v>
      </c>
      <c r="P30" s="14">
        <f>IFERROR(IF(OR(B30&amp;C30="PAU",B30&amp;C30="AIN"),VLOOKUP(B30&amp;C30&amp;G30,#REF!,8,0),VLOOKUP(B30&amp;G30,#REF!,8,0)),0)</f>
        <v>0</v>
      </c>
      <c r="Q30" s="15">
        <f t="shared" si="14"/>
        <v>0.33143206009379156</v>
      </c>
      <c r="R30" s="16" t="str">
        <f t="shared" si="15"/>
        <v>AOP</v>
      </c>
      <c r="S30" s="17">
        <f t="shared" si="16"/>
        <v>333.08922039426051</v>
      </c>
      <c r="T30" s="18">
        <f t="shared" si="17"/>
        <v>333.08922039426051</v>
      </c>
      <c r="U30" s="23">
        <f t="shared" si="4"/>
        <v>1005</v>
      </c>
      <c r="Y30" s="8" t="str">
        <f t="shared" si="18"/>
        <v>AIDH63752MPC15</v>
      </c>
      <c r="Z30" s="8" t="str">
        <f>IF(Y30='Input - Bookings'!Q20,"OK","Check")</f>
        <v>Check</v>
      </c>
      <c r="AA30" s="118"/>
      <c r="AB30" s="103"/>
      <c r="AC30" s="103"/>
      <c r="AD30" s="100">
        <f t="shared" si="23"/>
        <v>652.34056272401904</v>
      </c>
      <c r="AE30" s="100"/>
      <c r="AF30" s="8" t="str">
        <f t="array" ref="AF30">_xlfn.XLOOKUP($G30,'AP Plants'!D:D,'AP Plants'!B:B)</f>
        <v>Class 3</v>
      </c>
      <c r="AG30" s="102"/>
      <c r="AH30" s="102">
        <f t="shared" si="10"/>
        <v>652.34056272401904</v>
      </c>
      <c r="AI30" s="44">
        <v>1.4999999999999999E-2</v>
      </c>
      <c r="AJ30" s="15">
        <f>_xlfn.XLOOKUP($AF30,Warranty!B:B,Warranty!E:E)</f>
        <v>1.4999999999999999E-2</v>
      </c>
      <c r="AK30" s="8">
        <f>IF($I30="AUD",VLOOKUP(RIGHT('Wk - Margins'!$G30,3),'AU Freight'!C:G,5,0),0)</f>
        <v>0</v>
      </c>
      <c r="AL30" s="15">
        <f t="shared" si="19"/>
        <v>0</v>
      </c>
      <c r="AM30" s="61">
        <f t="shared" si="20"/>
        <v>671.91077960573944</v>
      </c>
      <c r="AN30" s="63">
        <f t="shared" si="21"/>
        <v>0.33143206009379156</v>
      </c>
      <c r="AQ30" s="147"/>
    </row>
    <row r="31" spans="1:43">
      <c r="A31" s="10" t="str">
        <f>'Input - Bookings'!A31</f>
        <v>10-02</v>
      </c>
      <c r="B31" s="11" t="str">
        <f>'Input - Bookings'!C31</f>
        <v>A</v>
      </c>
      <c r="C31" s="11" t="str">
        <f>'Input - Bookings'!H31</f>
        <v>ID</v>
      </c>
      <c r="D31" s="24" t="str">
        <f>'Input - Bookings'!E31</f>
        <v>067</v>
      </c>
      <c r="E31" s="24" t="str">
        <f>'Input - Bookings'!G31</f>
        <v>PT UNIVERSAL TRAKTOR</v>
      </c>
      <c r="F31" s="146" t="str">
        <f>'Input - Bookings'!I31</f>
        <v>H63753</v>
      </c>
      <c r="G31" s="24" t="str">
        <f>'Input - Bookings'!L31</f>
        <v>A3D4</v>
      </c>
      <c r="H31" s="24" t="str">
        <f>'Input - Bookings'!M31</f>
        <v>MPC15</v>
      </c>
      <c r="I31" s="24" t="str">
        <f>'Input - Bookings'!B31</f>
        <v>USD</v>
      </c>
      <c r="J31" s="13" t="str">
        <f>IF(I31="USD",INDEX('AP Plants'!A:A,MATCH(G31,'AP Plants'!D:D,0)),INDEX('Australia Plants'!A:A,MATCH(G31,'Australia Plants'!D:D,0)))</f>
        <v>Staxx</v>
      </c>
      <c r="K31" s="73">
        <v>1</v>
      </c>
      <c r="L31" s="97">
        <v>1440</v>
      </c>
      <c r="M31" s="97">
        <v>1005</v>
      </c>
      <c r="N31" s="99">
        <v>0.33143206009379156</v>
      </c>
      <c r="O31" s="25">
        <f t="shared" si="13"/>
        <v>0.30208333333333337</v>
      </c>
      <c r="P31" s="14">
        <f>IFERROR(IF(OR(B31&amp;C31="PAU",B31&amp;C31="AIN"),VLOOKUP(B31&amp;C31&amp;G31,#REF!,8,0),VLOOKUP(B31&amp;G31,#REF!,8,0)),0)</f>
        <v>0</v>
      </c>
      <c r="Q31" s="15">
        <f t="shared" si="14"/>
        <v>0.33143206009379156</v>
      </c>
      <c r="R31" s="16" t="str">
        <f t="shared" si="15"/>
        <v>AOP</v>
      </c>
      <c r="S31" s="17">
        <f t="shared" si="16"/>
        <v>333.08922039426051</v>
      </c>
      <c r="T31" s="18">
        <f t="shared" si="17"/>
        <v>333.08922039426051</v>
      </c>
      <c r="U31" s="23">
        <f t="shared" si="4"/>
        <v>1005</v>
      </c>
      <c r="Y31" s="8" t="str">
        <f t="shared" si="18"/>
        <v>AIDH63753MPC15</v>
      </c>
      <c r="Z31" s="8" t="str">
        <f>IF(Y31='Input - Bookings'!Q21,"OK","Check")</f>
        <v>Check</v>
      </c>
      <c r="AA31" s="118"/>
      <c r="AB31" s="103"/>
      <c r="AC31" s="103"/>
      <c r="AD31" s="100">
        <f t="shared" si="23"/>
        <v>652.34056272401904</v>
      </c>
      <c r="AE31" s="100"/>
      <c r="AF31" s="8" t="str">
        <f t="array" ref="AF31">_xlfn.XLOOKUP($G31,'AP Plants'!D:D,'AP Plants'!B:B)</f>
        <v>Class 3</v>
      </c>
      <c r="AG31" s="102"/>
      <c r="AH31" s="102">
        <f t="shared" si="10"/>
        <v>652.34056272401904</v>
      </c>
      <c r="AI31" s="44">
        <v>1.4999999999999999E-2</v>
      </c>
      <c r="AJ31" s="15">
        <f>_xlfn.XLOOKUP($AF31,Warranty!B:B,Warranty!E:E)</f>
        <v>1.4999999999999999E-2</v>
      </c>
      <c r="AK31" s="8">
        <f>IF($I31="AUD",VLOOKUP(RIGHT('Wk - Margins'!$G31,3),'AU Freight'!C:G,5,0),0)</f>
        <v>0</v>
      </c>
      <c r="AL31" s="15">
        <f t="shared" si="19"/>
        <v>0</v>
      </c>
      <c r="AM31" s="61">
        <f t="shared" si="20"/>
        <v>671.91077960573944</v>
      </c>
      <c r="AN31" s="63">
        <f t="shared" si="21"/>
        <v>0.33143206009379156</v>
      </c>
      <c r="AQ31" s="147"/>
    </row>
    <row r="32" spans="1:43">
      <c r="A32" s="10" t="str">
        <f>'Input - Bookings'!A32</f>
        <v>10-02</v>
      </c>
      <c r="B32" s="11" t="str">
        <f>'Input - Bookings'!C32</f>
        <v>A</v>
      </c>
      <c r="C32" s="11" t="str">
        <f>'Input - Bookings'!H32</f>
        <v>ID</v>
      </c>
      <c r="D32" s="24" t="str">
        <f>'Input - Bookings'!E32</f>
        <v>067</v>
      </c>
      <c r="E32" s="24" t="str">
        <f>'Input - Bookings'!G32</f>
        <v>PT UNIVERSAL TRAKTOR</v>
      </c>
      <c r="F32" s="146" t="str">
        <f>'Input - Bookings'!I32</f>
        <v>H63754</v>
      </c>
      <c r="G32" s="24" t="str">
        <f>'Input - Bookings'!L32</f>
        <v>A3D4</v>
      </c>
      <c r="H32" s="24" t="str">
        <f>'Input - Bookings'!M32</f>
        <v>MPC15</v>
      </c>
      <c r="I32" s="24" t="str">
        <f>'Input - Bookings'!B32</f>
        <v>USD</v>
      </c>
      <c r="J32" s="13" t="str">
        <f>IF(I32="USD",INDEX('AP Plants'!A:A,MATCH(G32,'AP Plants'!D:D,0)),INDEX('Australia Plants'!A:A,MATCH(G32,'Australia Plants'!D:D,0)))</f>
        <v>Staxx</v>
      </c>
      <c r="K32" s="73">
        <v>1</v>
      </c>
      <c r="L32" s="97">
        <v>1440</v>
      </c>
      <c r="M32" s="97">
        <v>1005</v>
      </c>
      <c r="N32" s="99">
        <v>0.33143206009379156</v>
      </c>
      <c r="O32" s="25">
        <f t="shared" si="13"/>
        <v>0.30208333333333337</v>
      </c>
      <c r="P32" s="14">
        <f>IFERROR(IF(OR(B32&amp;C32="PAU",B32&amp;C32="AIN"),VLOOKUP(B32&amp;C32&amp;G32,#REF!,8,0),VLOOKUP(B32&amp;G32,#REF!,8,0)),0)</f>
        <v>0</v>
      </c>
      <c r="Q32" s="15">
        <f t="shared" si="14"/>
        <v>0.33143206009379156</v>
      </c>
      <c r="R32" s="16" t="str">
        <f t="shared" si="15"/>
        <v>AOP</v>
      </c>
      <c r="S32" s="17">
        <f t="shared" si="16"/>
        <v>333.08922039426051</v>
      </c>
      <c r="T32" s="18">
        <f t="shared" si="17"/>
        <v>333.08922039426051</v>
      </c>
      <c r="U32" s="23">
        <f t="shared" si="4"/>
        <v>1005</v>
      </c>
      <c r="Y32" s="8" t="str">
        <f t="shared" si="18"/>
        <v>AIDH63754MPC15</v>
      </c>
      <c r="Z32" s="8" t="str">
        <f>IF(Y32='Input - Bookings'!Q22,"OK","Check")</f>
        <v>Check</v>
      </c>
      <c r="AA32" s="118"/>
      <c r="AB32" s="103"/>
      <c r="AC32" s="103"/>
      <c r="AD32" s="100">
        <f t="shared" si="23"/>
        <v>652.34056272401904</v>
      </c>
      <c r="AE32" s="100"/>
      <c r="AF32" s="8" t="str">
        <f t="array" ref="AF32">_xlfn.XLOOKUP($G32,'AP Plants'!D:D,'AP Plants'!B:B)</f>
        <v>Class 3</v>
      </c>
      <c r="AG32" s="102"/>
      <c r="AH32" s="102">
        <f t="shared" si="10"/>
        <v>652.34056272401904</v>
      </c>
      <c r="AI32" s="44">
        <v>1.4999999999999999E-2</v>
      </c>
      <c r="AJ32" s="15">
        <f>_xlfn.XLOOKUP($AF32,Warranty!B:B,Warranty!E:E)</f>
        <v>1.4999999999999999E-2</v>
      </c>
      <c r="AK32" s="8">
        <f>IF($I32="AUD",VLOOKUP(RIGHT('Wk - Margins'!$G32,3),'AU Freight'!C:G,5,0),0)</f>
        <v>0</v>
      </c>
      <c r="AL32" s="15">
        <f t="shared" si="19"/>
        <v>0</v>
      </c>
      <c r="AM32" s="61">
        <f t="shared" si="20"/>
        <v>671.91077960573944</v>
      </c>
      <c r="AN32" s="63">
        <f t="shared" si="21"/>
        <v>0.33143206009379156</v>
      </c>
      <c r="AQ32" s="147"/>
    </row>
    <row r="33" spans="1:43">
      <c r="A33" s="10" t="str">
        <f>'Input - Bookings'!A33</f>
        <v>10-02</v>
      </c>
      <c r="B33" s="11" t="str">
        <f>'Input - Bookings'!C33</f>
        <v>A</v>
      </c>
      <c r="C33" s="11" t="str">
        <f>'Input - Bookings'!H33</f>
        <v>ID</v>
      </c>
      <c r="D33" s="24" t="str">
        <f>'Input - Bookings'!E33</f>
        <v>067</v>
      </c>
      <c r="E33" s="24" t="str">
        <f>'Input - Bookings'!G33</f>
        <v>PT UNIVERSAL TRAKTOR</v>
      </c>
      <c r="F33" s="146" t="str">
        <f>'Input - Bookings'!I33</f>
        <v>H63755</v>
      </c>
      <c r="G33" s="24" t="str">
        <f>'Input - Bookings'!L33</f>
        <v>A3D4</v>
      </c>
      <c r="H33" s="24" t="str">
        <f>'Input - Bookings'!M33</f>
        <v>MPC15</v>
      </c>
      <c r="I33" s="24" t="str">
        <f>'Input - Bookings'!B33</f>
        <v>USD</v>
      </c>
      <c r="J33" s="13" t="str">
        <f>IF(I33="USD",INDEX('AP Plants'!A:A,MATCH(G33,'AP Plants'!D:D,0)),INDEX('Australia Plants'!A:A,MATCH(G33,'Australia Plants'!D:D,0)))</f>
        <v>Staxx</v>
      </c>
      <c r="K33" s="73">
        <v>1</v>
      </c>
      <c r="L33" s="97">
        <v>1440</v>
      </c>
      <c r="M33" s="97">
        <v>1005</v>
      </c>
      <c r="N33" s="99">
        <v>0.33143206009379156</v>
      </c>
      <c r="O33" s="25">
        <f t="shared" si="13"/>
        <v>0.30208333333333337</v>
      </c>
      <c r="P33" s="14">
        <f>IFERROR(IF(OR(B33&amp;C33="PAU",B33&amp;C33="AIN"),VLOOKUP(B33&amp;C33&amp;G33,#REF!,8,0),VLOOKUP(B33&amp;G33,#REF!,8,0)),0)</f>
        <v>0</v>
      </c>
      <c r="Q33" s="15">
        <f t="shared" si="14"/>
        <v>0.33143206009379156</v>
      </c>
      <c r="R33" s="16" t="str">
        <f t="shared" si="15"/>
        <v>AOP</v>
      </c>
      <c r="S33" s="17">
        <f t="shared" si="16"/>
        <v>333.08922039426051</v>
      </c>
      <c r="T33" s="18">
        <f t="shared" si="17"/>
        <v>333.08922039426051</v>
      </c>
      <c r="U33" s="23">
        <f t="shared" si="4"/>
        <v>1005</v>
      </c>
      <c r="Y33" s="8" t="str">
        <f t="shared" si="18"/>
        <v>AIDH63755MPC15</v>
      </c>
      <c r="Z33" s="8" t="str">
        <f>IF(Y33='Input - Bookings'!Q23,"OK","Check")</f>
        <v>Check</v>
      </c>
      <c r="AA33" s="118"/>
      <c r="AB33" s="103"/>
      <c r="AC33" s="103"/>
      <c r="AD33" s="100">
        <f t="shared" si="23"/>
        <v>652.34056272401904</v>
      </c>
      <c r="AE33" s="100"/>
      <c r="AF33" s="8" t="str">
        <f t="array" ref="AF33">_xlfn.XLOOKUP($G33,'AP Plants'!D:D,'AP Plants'!B:B)</f>
        <v>Class 3</v>
      </c>
      <c r="AG33" s="102"/>
      <c r="AH33" s="102">
        <f t="shared" si="10"/>
        <v>652.34056272401904</v>
      </c>
      <c r="AI33" s="44">
        <v>1.4999999999999999E-2</v>
      </c>
      <c r="AJ33" s="15">
        <f>_xlfn.XLOOKUP($AF33,Warranty!B:B,Warranty!E:E)</f>
        <v>1.4999999999999999E-2</v>
      </c>
      <c r="AK33" s="8">
        <f>IF($I33="AUD",VLOOKUP(RIGHT('Wk - Margins'!$G33,3),'AU Freight'!C:G,5,0),0)</f>
        <v>0</v>
      </c>
      <c r="AL33" s="15">
        <f t="shared" si="19"/>
        <v>0</v>
      </c>
      <c r="AM33" s="61">
        <f t="shared" si="20"/>
        <v>671.91077960573944</v>
      </c>
      <c r="AN33" s="63">
        <f t="shared" si="21"/>
        <v>0.33143206009379156</v>
      </c>
      <c r="AQ33" s="147"/>
    </row>
    <row r="34" spans="1:43">
      <c r="A34" s="10" t="str">
        <f>'Input - Bookings'!A34</f>
        <v>10-02</v>
      </c>
      <c r="B34" s="11" t="str">
        <f>'Input - Bookings'!C34</f>
        <v>A</v>
      </c>
      <c r="C34" s="11" t="str">
        <f>'Input - Bookings'!H34</f>
        <v>ID</v>
      </c>
      <c r="D34" s="24" t="str">
        <f>'Input - Bookings'!E34</f>
        <v>067</v>
      </c>
      <c r="E34" s="24" t="str">
        <f>'Input - Bookings'!G34</f>
        <v>PT UNIVERSAL TRAKTOR</v>
      </c>
      <c r="F34" s="146" t="str">
        <f>'Input - Bookings'!I34</f>
        <v>H63756</v>
      </c>
      <c r="G34" s="24" t="str">
        <f>'Input - Bookings'!L34</f>
        <v>A3D4</v>
      </c>
      <c r="H34" s="24" t="str">
        <f>'Input - Bookings'!M34</f>
        <v>MPC15</v>
      </c>
      <c r="I34" s="24" t="str">
        <f>'Input - Bookings'!B34</f>
        <v>USD</v>
      </c>
      <c r="J34" s="13" t="str">
        <f>IF(I34="USD",INDEX('AP Plants'!A:A,MATCH(G34,'AP Plants'!D:D,0)),INDEX('Australia Plants'!A:A,MATCH(G34,'Australia Plants'!D:D,0)))</f>
        <v>Staxx</v>
      </c>
      <c r="K34" s="73">
        <v>1</v>
      </c>
      <c r="L34" s="97">
        <v>1440</v>
      </c>
      <c r="M34" s="97">
        <v>1005</v>
      </c>
      <c r="N34" s="99">
        <v>0.33143206009379156</v>
      </c>
      <c r="O34" s="25">
        <f t="shared" si="13"/>
        <v>0.30208333333333337</v>
      </c>
      <c r="P34" s="14">
        <f>IFERROR(IF(OR(B34&amp;C34="PAU",B34&amp;C34="AIN"),VLOOKUP(B34&amp;C34&amp;G34,#REF!,8,0),VLOOKUP(B34&amp;G34,#REF!,8,0)),0)</f>
        <v>0</v>
      </c>
      <c r="Q34" s="15">
        <f t="shared" si="14"/>
        <v>0.33143206009379156</v>
      </c>
      <c r="R34" s="16" t="str">
        <f t="shared" si="15"/>
        <v>AOP</v>
      </c>
      <c r="S34" s="17">
        <f t="shared" si="16"/>
        <v>333.08922039426051</v>
      </c>
      <c r="T34" s="18">
        <f t="shared" si="17"/>
        <v>333.08922039426051</v>
      </c>
      <c r="U34" s="23">
        <f t="shared" si="4"/>
        <v>1005</v>
      </c>
      <c r="Y34" s="8" t="str">
        <f t="shared" si="18"/>
        <v>AIDH63756MPC15</v>
      </c>
      <c r="Z34" s="8" t="str">
        <f>IF(Y34='Input - Bookings'!Q24,"OK","Check")</f>
        <v>Check</v>
      </c>
      <c r="AA34" s="118"/>
      <c r="AB34" s="103"/>
      <c r="AC34" s="103"/>
      <c r="AD34" s="100">
        <f t="shared" si="23"/>
        <v>652.34056272401904</v>
      </c>
      <c r="AE34" s="100"/>
      <c r="AF34" s="8" t="str">
        <f t="array" ref="AF34">_xlfn.XLOOKUP($G34,'AP Plants'!D:D,'AP Plants'!B:B)</f>
        <v>Class 3</v>
      </c>
      <c r="AG34" s="102"/>
      <c r="AH34" s="102">
        <f t="shared" si="10"/>
        <v>652.34056272401904</v>
      </c>
      <c r="AI34" s="44">
        <v>1.4999999999999999E-2</v>
      </c>
      <c r="AJ34" s="15">
        <f>_xlfn.XLOOKUP($AF34,Warranty!B:B,Warranty!E:E)</f>
        <v>1.4999999999999999E-2</v>
      </c>
      <c r="AK34" s="8">
        <f>IF($I34="AUD",VLOOKUP(RIGHT('Wk - Margins'!$G34,3),'AU Freight'!C:G,5,0),0)</f>
        <v>0</v>
      </c>
      <c r="AL34" s="15">
        <f t="shared" si="19"/>
        <v>0</v>
      </c>
      <c r="AM34" s="61">
        <f t="shared" si="20"/>
        <v>671.91077960573944</v>
      </c>
      <c r="AN34" s="63">
        <f t="shared" si="21"/>
        <v>0.33143206009379156</v>
      </c>
      <c r="AQ34" s="147"/>
    </row>
    <row r="35" spans="1:43">
      <c r="A35" s="10" t="str">
        <f>'Input - Bookings'!A35</f>
        <v>10-02</v>
      </c>
      <c r="B35" s="11" t="str">
        <f>'Input - Bookings'!C35</f>
        <v>A</v>
      </c>
      <c r="C35" s="11" t="str">
        <f>'Input - Bookings'!H35</f>
        <v>ID</v>
      </c>
      <c r="D35" s="24" t="str">
        <f>'Input - Bookings'!E35</f>
        <v>067</v>
      </c>
      <c r="E35" s="24" t="str">
        <f>'Input - Bookings'!G35</f>
        <v>PT UNIVERSAL TRAKTOR</v>
      </c>
      <c r="F35" s="146" t="str">
        <f>'Input - Bookings'!I35</f>
        <v>H63757</v>
      </c>
      <c r="G35" s="24" t="str">
        <f>'Input - Bookings'!L35</f>
        <v>A3D4</v>
      </c>
      <c r="H35" s="24" t="str">
        <f>'Input - Bookings'!M35</f>
        <v>MPC15</v>
      </c>
      <c r="I35" s="24" t="str">
        <f>'Input - Bookings'!B35</f>
        <v>USD</v>
      </c>
      <c r="J35" s="13" t="str">
        <f>IF(I35="USD",INDEX('AP Plants'!A:A,MATCH(G35,'AP Plants'!D:D,0)),INDEX('Australia Plants'!A:A,MATCH(G35,'Australia Plants'!D:D,0)))</f>
        <v>Staxx</v>
      </c>
      <c r="K35" s="73">
        <v>1</v>
      </c>
      <c r="L35" s="97">
        <v>1440</v>
      </c>
      <c r="M35" s="97">
        <v>1005</v>
      </c>
      <c r="N35" s="99">
        <v>0.33143206009379156</v>
      </c>
      <c r="O35" s="25">
        <f t="shared" ref="O35" si="24">1-M35/L35</f>
        <v>0.30208333333333337</v>
      </c>
      <c r="P35" s="14">
        <f>IFERROR(IF(OR(B35&amp;C35="PAU",B35&amp;C35="AIN"),VLOOKUP(B35&amp;C35&amp;G35,#REF!,8,0),VLOOKUP(B35&amp;G35,#REF!,8,0)),0)</f>
        <v>0</v>
      </c>
      <c r="Q35" s="15">
        <f t="shared" ref="Q35" si="25">N35-P35</f>
        <v>0.33143206009379156</v>
      </c>
      <c r="R35" s="16" t="str">
        <f t="shared" ref="R35" si="26">IF(Q35&gt;=0%,"AOP",IF(Q35&gt;=-2%,"GM",IF(Q35&gt;=-6%,"MD","VP")))</f>
        <v>AOP</v>
      </c>
      <c r="S35" s="17">
        <f t="shared" si="16"/>
        <v>333.08922039426051</v>
      </c>
      <c r="T35" s="18">
        <f t="shared" ref="T35" si="27">IF(I35="USD",S35,S35/$X$6)</f>
        <v>333.08922039426051</v>
      </c>
      <c r="U35" s="23">
        <f t="shared" si="4"/>
        <v>1005</v>
      </c>
      <c r="Y35" s="8" t="str">
        <f t="shared" ref="Y35" si="28">B35&amp;C35&amp;F35&amp;H35</f>
        <v>AIDH63757MPC15</v>
      </c>
      <c r="Z35" s="8" t="str">
        <f>IF(Y35='Input - Bookings'!Q46,"OK","Check")</f>
        <v>Check</v>
      </c>
      <c r="AA35" s="139"/>
      <c r="AB35" s="103"/>
      <c r="AC35" s="103"/>
      <c r="AD35" s="100">
        <f t="shared" si="23"/>
        <v>652.34056272401904</v>
      </c>
      <c r="AE35" s="100"/>
      <c r="AF35" s="8" t="str">
        <f t="array" ref="AF35">_xlfn.XLOOKUP($G35,'AP Plants'!D:D,'AP Plants'!B:B)</f>
        <v>Class 3</v>
      </c>
      <c r="AG35" s="102"/>
      <c r="AH35" s="102">
        <f t="shared" si="10"/>
        <v>652.34056272401904</v>
      </c>
      <c r="AI35" s="44">
        <v>1.4999999999999999E-2</v>
      </c>
      <c r="AJ35" s="15">
        <f>_xlfn.XLOOKUP($AF35,Warranty!B:B,Warranty!E:E)</f>
        <v>1.4999999999999999E-2</v>
      </c>
      <c r="AK35" s="8">
        <f>IF($I35="AUD",VLOOKUP(RIGHT('Wk - Margins'!$G35,3),'AU Freight'!C:G,5,0),0)</f>
        <v>0</v>
      </c>
      <c r="AL35" s="15">
        <f t="shared" si="19"/>
        <v>0</v>
      </c>
      <c r="AM35" s="61">
        <f t="shared" si="20"/>
        <v>671.91077960573944</v>
      </c>
      <c r="AN35" s="63">
        <f t="shared" si="21"/>
        <v>0.33143206009379156</v>
      </c>
      <c r="AQ35" s="147"/>
    </row>
    <row r="36" spans="1:43">
      <c r="A36" s="10" t="str">
        <f>'Input - Bookings'!A36</f>
        <v>10-02</v>
      </c>
      <c r="B36" s="11" t="str">
        <f>'Input - Bookings'!C36</f>
        <v>A</v>
      </c>
      <c r="C36" s="11" t="str">
        <f>'Input - Bookings'!H36</f>
        <v>ID</v>
      </c>
      <c r="D36" s="24" t="str">
        <f>'Input - Bookings'!E36</f>
        <v>067</v>
      </c>
      <c r="E36" s="24" t="str">
        <f>'Input - Bookings'!G36</f>
        <v>PT UNIVERSAL TRAKTOR</v>
      </c>
      <c r="F36" s="146" t="str">
        <f>'Input - Bookings'!I36</f>
        <v>H63758</v>
      </c>
      <c r="G36" s="24" t="str">
        <f>'Input - Bookings'!L36</f>
        <v>A3D4</v>
      </c>
      <c r="H36" s="24" t="str">
        <f>'Input - Bookings'!M36</f>
        <v>MPC15</v>
      </c>
      <c r="I36" s="24" t="str">
        <f>'Input - Bookings'!B36</f>
        <v>USD</v>
      </c>
      <c r="J36" s="13" t="str">
        <f>IF(I36="USD",INDEX('AP Plants'!A:A,MATCH(G36,'AP Plants'!D:D,0)),INDEX('Australia Plants'!A:A,MATCH(G36,'Australia Plants'!D:D,0)))</f>
        <v>Staxx</v>
      </c>
      <c r="K36" s="73">
        <v>1</v>
      </c>
      <c r="L36" s="97">
        <v>1440</v>
      </c>
      <c r="M36" s="97">
        <v>1005</v>
      </c>
      <c r="N36" s="99">
        <v>0.33143206009379156</v>
      </c>
      <c r="O36" s="25">
        <f t="shared" si="13"/>
        <v>0.30208333333333337</v>
      </c>
      <c r="P36" s="14">
        <f>IFERROR(IF(OR(B36&amp;C36="PAU",B36&amp;C36="AIN"),VLOOKUP(B36&amp;C36&amp;G36,#REF!,8,0),VLOOKUP(B36&amp;G36,#REF!,8,0)),0)</f>
        <v>0</v>
      </c>
      <c r="Q36" s="15">
        <f t="shared" si="14"/>
        <v>0.33143206009379156</v>
      </c>
      <c r="R36" s="16" t="str">
        <f t="shared" si="15"/>
        <v>AOP</v>
      </c>
      <c r="S36" s="17">
        <f t="shared" si="16"/>
        <v>333.08922039426051</v>
      </c>
      <c r="T36" s="18">
        <f t="shared" si="17"/>
        <v>333.08922039426051</v>
      </c>
      <c r="U36" s="23">
        <f t="shared" si="4"/>
        <v>1005</v>
      </c>
      <c r="Y36" s="8" t="str">
        <f t="shared" si="18"/>
        <v>AIDH63758MPC15</v>
      </c>
      <c r="Z36" s="8" t="str">
        <f>IF(Y36='Input - Bookings'!Q30,"OK","Check")</f>
        <v>Check</v>
      </c>
      <c r="AA36" s="118"/>
      <c r="AB36" s="103"/>
      <c r="AC36" s="103"/>
      <c r="AD36" s="100">
        <f t="shared" si="23"/>
        <v>652.34056272401904</v>
      </c>
      <c r="AE36" s="100"/>
      <c r="AF36" s="31" t="str">
        <f t="array" ref="AF36">_xlfn.XLOOKUP($G36,'AP Plants'!D:D,'AP Plants'!B:B)</f>
        <v>Class 3</v>
      </c>
      <c r="AG36" s="102"/>
      <c r="AH36" s="102">
        <f t="shared" si="10"/>
        <v>652.34056272401904</v>
      </c>
      <c r="AI36" s="44">
        <v>1.4999999999999999E-2</v>
      </c>
      <c r="AJ36" s="15">
        <f>_xlfn.XLOOKUP($AF36,Warranty!B:B,Warranty!E:E)</f>
        <v>1.4999999999999999E-2</v>
      </c>
      <c r="AK36" s="8">
        <f>IF($I36="AUD",VLOOKUP(RIGHT('Wk - Margins'!$G36,3),'AU Freight'!C:G,5,0),0)</f>
        <v>0</v>
      </c>
      <c r="AL36" s="15">
        <f t="shared" si="19"/>
        <v>0</v>
      </c>
      <c r="AM36" s="61">
        <f t="shared" si="20"/>
        <v>671.91077960573944</v>
      </c>
      <c r="AN36" s="63">
        <f t="shared" si="21"/>
        <v>0.33143206009379156</v>
      </c>
      <c r="AQ36" s="147"/>
    </row>
    <row r="37" spans="1:43">
      <c r="A37" s="10" t="str">
        <f>'Input - Bookings'!A37</f>
        <v>10-02</v>
      </c>
      <c r="B37" s="11" t="str">
        <f>'Input - Bookings'!C37</f>
        <v>A</v>
      </c>
      <c r="C37" s="11" t="str">
        <f>'Input - Bookings'!H37</f>
        <v>ID</v>
      </c>
      <c r="D37" s="24" t="str">
        <f>'Input - Bookings'!E37</f>
        <v>067</v>
      </c>
      <c r="E37" s="24" t="str">
        <f>'Input - Bookings'!G37</f>
        <v>PT UNIVERSAL TRAKTOR</v>
      </c>
      <c r="F37" s="146" t="str">
        <f>'Input - Bookings'!I37</f>
        <v>H63759</v>
      </c>
      <c r="G37" s="24" t="str">
        <f>'Input - Bookings'!L37</f>
        <v>A3D4</v>
      </c>
      <c r="H37" s="24" t="str">
        <f>'Input - Bookings'!M37</f>
        <v>MPC15</v>
      </c>
      <c r="I37" s="24" t="str">
        <f>'Input - Bookings'!B37</f>
        <v>USD</v>
      </c>
      <c r="J37" s="13" t="str">
        <f>IF(I37="USD",INDEX('AP Plants'!A:A,MATCH(G37,'AP Plants'!D:D,0)),INDEX('Australia Plants'!A:A,MATCH(G37,'Australia Plants'!D:D,0)))</f>
        <v>Staxx</v>
      </c>
      <c r="K37" s="73">
        <v>1</v>
      </c>
      <c r="L37" s="97">
        <v>1440</v>
      </c>
      <c r="M37" s="97">
        <v>1005</v>
      </c>
      <c r="N37" s="99">
        <v>0.33143206009379156</v>
      </c>
      <c r="O37" s="25">
        <f t="shared" si="13"/>
        <v>0.30208333333333337</v>
      </c>
      <c r="P37" s="14">
        <f>IFERROR(IF(OR(B37&amp;C37="PAU",B37&amp;C37="AIN"),VLOOKUP(B37&amp;C37&amp;G37,#REF!,8,0),VLOOKUP(B37&amp;G37,#REF!,8,0)),0)</f>
        <v>0</v>
      </c>
      <c r="Q37" s="15">
        <f t="shared" si="14"/>
        <v>0.33143206009379156</v>
      </c>
      <c r="R37" s="16" t="str">
        <f t="shared" si="15"/>
        <v>AOP</v>
      </c>
      <c r="S37" s="17">
        <f t="shared" si="16"/>
        <v>333.08922039426051</v>
      </c>
      <c r="T37" s="18">
        <f t="shared" si="17"/>
        <v>333.08922039426051</v>
      </c>
      <c r="U37" s="23">
        <f t="shared" si="4"/>
        <v>1005</v>
      </c>
      <c r="Y37" s="8" t="str">
        <f t="shared" si="18"/>
        <v>AIDH63759MPC15</v>
      </c>
      <c r="Z37" s="8" t="str">
        <f>IF(Y37='Input - Bookings'!Q47,"OK","Check")</f>
        <v>Check</v>
      </c>
      <c r="AA37" s="139"/>
      <c r="AB37" s="103"/>
      <c r="AC37" s="103"/>
      <c r="AD37" s="100">
        <f t="shared" si="23"/>
        <v>652.34056272401904</v>
      </c>
      <c r="AE37" s="100"/>
      <c r="AF37" s="8" t="str">
        <f t="array" ref="AF37">_xlfn.XLOOKUP($G37,'AP Plants'!D:D,'AP Plants'!B:B)</f>
        <v>Class 3</v>
      </c>
      <c r="AG37" s="102"/>
      <c r="AH37" s="102">
        <f t="shared" si="10"/>
        <v>652.34056272401904</v>
      </c>
      <c r="AI37" s="44">
        <v>1.4999999999999999E-2</v>
      </c>
      <c r="AJ37" s="15">
        <f>_xlfn.XLOOKUP($AF37,Warranty!B:B,Warranty!E:E)</f>
        <v>1.4999999999999999E-2</v>
      </c>
      <c r="AK37" s="8">
        <f>IF($I37="AUD",VLOOKUP(RIGHT('Wk - Margins'!$G37,3),'AU Freight'!C:G,5,0),0)</f>
        <v>0</v>
      </c>
      <c r="AL37" s="15">
        <f t="shared" si="19"/>
        <v>0</v>
      </c>
      <c r="AM37" s="61">
        <f t="shared" si="20"/>
        <v>671.91077960573944</v>
      </c>
      <c r="AN37" s="63">
        <f t="shared" si="21"/>
        <v>0.33143206009379156</v>
      </c>
      <c r="AQ37" s="147"/>
    </row>
    <row r="38" spans="1:43">
      <c r="A38" s="10" t="str">
        <f>'Input - Bookings'!A38</f>
        <v>10-02</v>
      </c>
      <c r="B38" s="11" t="str">
        <f>'Input - Bookings'!C38</f>
        <v>A</v>
      </c>
      <c r="C38" s="11" t="str">
        <f>'Input - Bookings'!H38</f>
        <v>ID</v>
      </c>
      <c r="D38" s="24" t="str">
        <f>'Input - Bookings'!E38</f>
        <v>067</v>
      </c>
      <c r="E38" s="24" t="str">
        <f>'Input - Bookings'!G38</f>
        <v>PT UNIVERSAL TRAKTOR</v>
      </c>
      <c r="F38" s="146" t="str">
        <f>'Input - Bookings'!I38</f>
        <v>H63760</v>
      </c>
      <c r="G38" s="24" t="str">
        <f>'Input - Bookings'!L38</f>
        <v>A3D4</v>
      </c>
      <c r="H38" s="24" t="str">
        <f>'Input - Bookings'!M38</f>
        <v>MPC15</v>
      </c>
      <c r="I38" s="24" t="str">
        <f>'Input - Bookings'!B38</f>
        <v>USD</v>
      </c>
      <c r="J38" s="13" t="str">
        <f>IF(I38="USD",INDEX('AP Plants'!A:A,MATCH(G38,'AP Plants'!D:D,0)),INDEX('Australia Plants'!A:A,MATCH(G38,'Australia Plants'!D:D,0)))</f>
        <v>Staxx</v>
      </c>
      <c r="K38" s="73">
        <v>1</v>
      </c>
      <c r="L38" s="97">
        <v>1440</v>
      </c>
      <c r="M38" s="97">
        <v>1005</v>
      </c>
      <c r="N38" s="99">
        <v>0.33143206009379156</v>
      </c>
      <c r="O38" s="25">
        <f t="shared" si="13"/>
        <v>0.30208333333333337</v>
      </c>
      <c r="P38" s="14">
        <f>IFERROR(IF(OR(B38&amp;C38="PAU",B38&amp;C38="AIN"),VLOOKUP(B38&amp;C38&amp;G38,#REF!,8,0),VLOOKUP(B38&amp;G38,#REF!,8,0)),0)</f>
        <v>0</v>
      </c>
      <c r="Q38" s="15">
        <f t="shared" si="14"/>
        <v>0.33143206009379156</v>
      </c>
      <c r="R38" s="16" t="str">
        <f t="shared" si="15"/>
        <v>AOP</v>
      </c>
      <c r="S38" s="17">
        <f t="shared" si="16"/>
        <v>333.08922039426051</v>
      </c>
      <c r="T38" s="18">
        <f t="shared" si="17"/>
        <v>333.08922039426051</v>
      </c>
      <c r="U38" s="23">
        <f t="shared" si="4"/>
        <v>1005</v>
      </c>
      <c r="Y38" s="8" t="str">
        <f t="shared" si="18"/>
        <v>AIDH63760MPC15</v>
      </c>
      <c r="Z38" s="8" t="str">
        <f>IF(Y38='Input - Bookings'!Q48,"OK","Check")</f>
        <v>Check</v>
      </c>
      <c r="AA38" s="118"/>
      <c r="AB38" s="103"/>
      <c r="AC38" s="103"/>
      <c r="AD38" s="100">
        <f t="shared" si="23"/>
        <v>652.34056272401904</v>
      </c>
      <c r="AE38" s="100"/>
      <c r="AF38" s="8" t="str">
        <f t="array" ref="AF38">_xlfn.XLOOKUP($G38,'AP Plants'!D:D,'AP Plants'!B:B)</f>
        <v>Class 3</v>
      </c>
      <c r="AG38" s="102"/>
      <c r="AH38" s="102">
        <f t="shared" si="10"/>
        <v>652.34056272401904</v>
      </c>
      <c r="AI38" s="44">
        <v>1.4999999999999999E-2</v>
      </c>
      <c r="AJ38" s="15">
        <f>_xlfn.XLOOKUP($AF38,Warranty!B:B,Warranty!E:E)</f>
        <v>1.4999999999999999E-2</v>
      </c>
      <c r="AK38" s="8">
        <f>IF($I38="AUD",VLOOKUP(RIGHT('Wk - Margins'!$G38,3),'AU Freight'!C:G,5,0),0)</f>
        <v>0</v>
      </c>
      <c r="AL38" s="15">
        <f t="shared" si="19"/>
        <v>0</v>
      </c>
      <c r="AM38" s="61">
        <f t="shared" si="20"/>
        <v>671.91077960573944</v>
      </c>
      <c r="AN38" s="63">
        <f t="shared" si="21"/>
        <v>0.33143206009379156</v>
      </c>
      <c r="AQ38" s="147"/>
    </row>
    <row r="39" spans="1:43">
      <c r="A39" s="10" t="str">
        <f>'Input - Bookings'!A39</f>
        <v>10-02</v>
      </c>
      <c r="B39" s="11" t="str">
        <f>'Input - Bookings'!C39</f>
        <v>A</v>
      </c>
      <c r="C39" s="11" t="str">
        <f>'Input - Bookings'!H39</f>
        <v>ID</v>
      </c>
      <c r="D39" s="24" t="str">
        <f>'Input - Bookings'!E39</f>
        <v>067</v>
      </c>
      <c r="E39" s="24" t="str">
        <f>'Input - Bookings'!G39</f>
        <v>PT UNIVERSAL TRAKTOR</v>
      </c>
      <c r="F39" s="146" t="str">
        <f>'Input - Bookings'!I39</f>
        <v>H63761</v>
      </c>
      <c r="G39" s="24" t="str">
        <f>'Input - Bookings'!L39</f>
        <v>A3D4</v>
      </c>
      <c r="H39" s="24" t="str">
        <f>'Input - Bookings'!M39</f>
        <v>MPC15</v>
      </c>
      <c r="I39" s="24" t="str">
        <f>'Input - Bookings'!B39</f>
        <v>USD</v>
      </c>
      <c r="J39" s="13" t="str">
        <f>IF(I39="USD",INDEX('AP Plants'!A:A,MATCH(G39,'AP Plants'!D:D,0)),INDEX('Australia Plants'!A:A,MATCH(G39,'Australia Plants'!D:D,0)))</f>
        <v>Staxx</v>
      </c>
      <c r="K39" s="73">
        <v>1</v>
      </c>
      <c r="L39" s="97">
        <v>1440</v>
      </c>
      <c r="M39" s="97">
        <v>1005</v>
      </c>
      <c r="N39" s="99">
        <v>0.33143206009379156</v>
      </c>
      <c r="O39" s="25">
        <f t="shared" si="13"/>
        <v>0.30208333333333337</v>
      </c>
      <c r="P39" s="14">
        <f>IFERROR(IF(OR(B39&amp;C39="PAU",B39&amp;C39="AIN"),VLOOKUP(B39&amp;C39&amp;G39,#REF!,8,0),VLOOKUP(B39&amp;G39,#REF!,8,0)),0)</f>
        <v>0</v>
      </c>
      <c r="Q39" s="15">
        <f t="shared" si="14"/>
        <v>0.33143206009379156</v>
      </c>
      <c r="R39" s="16" t="str">
        <f t="shared" si="15"/>
        <v>AOP</v>
      </c>
      <c r="S39" s="17">
        <f t="shared" si="16"/>
        <v>333.08922039426051</v>
      </c>
      <c r="T39" s="18">
        <f t="shared" si="17"/>
        <v>333.08922039426051</v>
      </c>
      <c r="U39" s="23">
        <f t="shared" si="4"/>
        <v>1005</v>
      </c>
      <c r="Y39" s="8" t="str">
        <f t="shared" si="18"/>
        <v>AIDH63761MPC15</v>
      </c>
      <c r="Z39" s="8" t="str">
        <f>IF(Y39='Input - Bookings'!Q50,"OK","Check")</f>
        <v>Check</v>
      </c>
      <c r="AA39" s="118"/>
      <c r="AB39" s="103"/>
      <c r="AC39" s="103"/>
      <c r="AD39" s="100">
        <f t="shared" si="23"/>
        <v>652.34056272401904</v>
      </c>
      <c r="AE39" s="100"/>
      <c r="AF39" s="8" t="str">
        <f t="array" ref="AF39">_xlfn.XLOOKUP($G39,'AP Plants'!D:D,'AP Plants'!B:B)</f>
        <v>Class 3</v>
      </c>
      <c r="AG39" s="102"/>
      <c r="AH39" s="102">
        <f t="shared" si="10"/>
        <v>652.34056272401904</v>
      </c>
      <c r="AI39" s="44">
        <v>1.4999999999999999E-2</v>
      </c>
      <c r="AJ39" s="15">
        <f>_xlfn.XLOOKUP($AF39,Warranty!B:B,Warranty!E:E)</f>
        <v>1.4999999999999999E-2</v>
      </c>
      <c r="AK39" s="8">
        <f>IF($I39="AUD",VLOOKUP(RIGHT('Wk - Margins'!$G39,3),'AU Freight'!C:G,5,0),0)</f>
        <v>0</v>
      </c>
      <c r="AL39" s="15">
        <f t="shared" si="19"/>
        <v>0</v>
      </c>
      <c r="AM39" s="61">
        <f t="shared" si="20"/>
        <v>671.91077960573944</v>
      </c>
      <c r="AN39" s="63">
        <f t="shared" si="21"/>
        <v>0.33143206009379156</v>
      </c>
      <c r="AQ39" s="147"/>
    </row>
    <row r="40" spans="1:43">
      <c r="A40" s="10" t="str">
        <f>'Input - Bookings'!A40</f>
        <v>10-02</v>
      </c>
      <c r="B40" s="11" t="str">
        <f>'Input - Bookings'!C40</f>
        <v>A</v>
      </c>
      <c r="C40" s="11" t="str">
        <f>'Input - Bookings'!H40</f>
        <v>ID</v>
      </c>
      <c r="D40" s="24" t="str">
        <f>'Input - Bookings'!E40</f>
        <v>067</v>
      </c>
      <c r="E40" s="24" t="str">
        <f>'Input - Bookings'!G40</f>
        <v>PT UNIVERSAL TRAKTOR</v>
      </c>
      <c r="F40" s="146" t="str">
        <f>'Input - Bookings'!I40</f>
        <v>H63762</v>
      </c>
      <c r="G40" s="24" t="str">
        <f>'Input - Bookings'!L40</f>
        <v>A3D4</v>
      </c>
      <c r="H40" s="24" t="str">
        <f>'Input - Bookings'!M40</f>
        <v>MPC15</v>
      </c>
      <c r="I40" s="24" t="str">
        <f>'Input - Bookings'!B40</f>
        <v>USD</v>
      </c>
      <c r="J40" s="13" t="str">
        <f>IF(I40="USD",INDEX('AP Plants'!A:A,MATCH(G40,'AP Plants'!D:D,0)),INDEX('Australia Plants'!A:A,MATCH(G40,'Australia Plants'!D:D,0)))</f>
        <v>Staxx</v>
      </c>
      <c r="K40" s="73">
        <v>1</v>
      </c>
      <c r="L40" s="97">
        <v>1440</v>
      </c>
      <c r="M40" s="97">
        <v>1005</v>
      </c>
      <c r="N40" s="99">
        <v>0.33143206009379156</v>
      </c>
      <c r="O40" s="25">
        <f t="shared" ref="O40" si="29">1-M40/L40</f>
        <v>0.30208333333333337</v>
      </c>
      <c r="P40" s="14">
        <f>IFERROR(IF(OR(B40&amp;C40="PAU",B40&amp;C40="AIN"),VLOOKUP(B40&amp;C40&amp;G40,#REF!,8,0),VLOOKUP(B40&amp;G40,#REF!,8,0)),0)</f>
        <v>0</v>
      </c>
      <c r="Q40" s="15">
        <f t="shared" ref="Q40" si="30">N40-P40</f>
        <v>0.33143206009379156</v>
      </c>
      <c r="R40" s="16" t="str">
        <f t="shared" ref="R40" si="31">IF(Q40&gt;=0%,"AOP",IF(Q40&gt;=-2%,"GM",IF(Q40&gt;=-6%,"MD","VP")))</f>
        <v>AOP</v>
      </c>
      <c r="S40" s="17">
        <f t="shared" si="16"/>
        <v>333.08922039426051</v>
      </c>
      <c r="T40" s="18">
        <f t="shared" ref="T40" si="32">IF(I40="USD",S40,S40/$X$6)</f>
        <v>333.08922039426051</v>
      </c>
      <c r="U40" s="23">
        <f t="shared" si="4"/>
        <v>1005</v>
      </c>
      <c r="Y40" s="8" t="str">
        <f t="shared" ref="Y40" si="33">B40&amp;C40&amp;F40&amp;H40</f>
        <v>AIDH63762MPC15</v>
      </c>
      <c r="Z40" s="8" t="str">
        <f>IF(Y40='Input - Bookings'!Q30,"OK","Check")</f>
        <v>Check</v>
      </c>
      <c r="AA40" s="118"/>
      <c r="AB40" s="103"/>
      <c r="AC40" s="103"/>
      <c r="AD40" s="100">
        <f t="shared" si="23"/>
        <v>652.34056272401904</v>
      </c>
      <c r="AE40" s="100"/>
      <c r="AF40" s="8" t="str">
        <f t="array" ref="AF40">_xlfn.XLOOKUP($G40,'AP Plants'!D:D,'AP Plants'!B:B)</f>
        <v>Class 3</v>
      </c>
      <c r="AG40" s="102"/>
      <c r="AH40" s="102">
        <f t="shared" si="10"/>
        <v>652.34056272401904</v>
      </c>
      <c r="AI40" s="44">
        <v>1.4999999999999999E-2</v>
      </c>
      <c r="AJ40" s="15">
        <f>_xlfn.XLOOKUP($AF40,Warranty!B:B,Warranty!E:E)</f>
        <v>1.4999999999999999E-2</v>
      </c>
      <c r="AK40" s="8">
        <f>IF($I40="AUD",VLOOKUP(RIGHT('Wk - Margins'!$G40,3),'AU Freight'!C:G,5,0),0)</f>
        <v>0</v>
      </c>
      <c r="AL40" s="15">
        <f t="shared" si="19"/>
        <v>0</v>
      </c>
      <c r="AM40" s="61">
        <f t="shared" si="20"/>
        <v>671.91077960573944</v>
      </c>
      <c r="AN40" s="63">
        <f t="shared" si="21"/>
        <v>0.33143206009379156</v>
      </c>
      <c r="AQ40" s="147"/>
    </row>
    <row r="41" spans="1:43">
      <c r="A41" s="10" t="str">
        <f>'Input - Bookings'!A41</f>
        <v>10-02</v>
      </c>
      <c r="B41" s="11" t="str">
        <f>'Input - Bookings'!C41</f>
        <v>A</v>
      </c>
      <c r="C41" s="11" t="str">
        <f>'Input - Bookings'!H41</f>
        <v>ID</v>
      </c>
      <c r="D41" s="24" t="str">
        <f>'Input - Bookings'!E41</f>
        <v>067</v>
      </c>
      <c r="E41" s="24" t="str">
        <f>'Input - Bookings'!G41</f>
        <v>PT UNIVERSAL TRAKTOR</v>
      </c>
      <c r="F41" s="146" t="str">
        <f>'Input - Bookings'!I41</f>
        <v>H63763</v>
      </c>
      <c r="G41" s="24" t="str">
        <f>'Input - Bookings'!L41</f>
        <v>A3D4</v>
      </c>
      <c r="H41" s="24" t="str">
        <f>'Input - Bookings'!M41</f>
        <v>MPC15</v>
      </c>
      <c r="I41" s="24" t="str">
        <f>'Input - Bookings'!B41</f>
        <v>USD</v>
      </c>
      <c r="J41" s="13" t="str">
        <f>IF(I41="USD",INDEX('AP Plants'!A:A,MATCH(G41,'AP Plants'!D:D,0)),INDEX('Australia Plants'!A:A,MATCH(G41,'Australia Plants'!D:D,0)))</f>
        <v>Staxx</v>
      </c>
      <c r="K41" s="73">
        <v>1</v>
      </c>
      <c r="L41" s="97">
        <v>1440</v>
      </c>
      <c r="M41" s="97">
        <v>1005</v>
      </c>
      <c r="N41" s="99">
        <v>0.33143206009379156</v>
      </c>
      <c r="O41" s="25">
        <f t="shared" si="13"/>
        <v>0.30208333333333337</v>
      </c>
      <c r="P41" s="14">
        <f>IFERROR(IF(OR(B41&amp;C41="PAU",B41&amp;C41="AIN"),VLOOKUP(B41&amp;C41&amp;G41,#REF!,8,0),VLOOKUP(B41&amp;G41,#REF!,8,0)),0)</f>
        <v>0</v>
      </c>
      <c r="Q41" s="15">
        <f t="shared" si="14"/>
        <v>0.33143206009379156</v>
      </c>
      <c r="R41" s="16" t="str">
        <f t="shared" si="15"/>
        <v>AOP</v>
      </c>
      <c r="S41" s="17">
        <f t="shared" si="16"/>
        <v>333.08922039426051</v>
      </c>
      <c r="T41" s="18">
        <f t="shared" si="17"/>
        <v>333.08922039426051</v>
      </c>
      <c r="U41" s="23">
        <f t="shared" si="4"/>
        <v>1005</v>
      </c>
      <c r="Y41" s="8" t="str">
        <f t="shared" si="18"/>
        <v>AIDH63763MPC15</v>
      </c>
      <c r="Z41" s="8" t="str">
        <f>IF(Y41='Input - Bookings'!Q53,"OK","Check")</f>
        <v>Check</v>
      </c>
      <c r="AA41" s="139"/>
      <c r="AB41" s="103"/>
      <c r="AC41" s="103"/>
      <c r="AD41" s="100">
        <f t="shared" si="23"/>
        <v>652.34056272401904</v>
      </c>
      <c r="AE41" s="100"/>
      <c r="AF41" s="8" t="str">
        <f t="array" ref="AF41">_xlfn.XLOOKUP($G41,'AP Plants'!D:D,'AP Plants'!B:B)</f>
        <v>Class 3</v>
      </c>
      <c r="AG41" s="102"/>
      <c r="AH41" s="102">
        <f t="shared" si="10"/>
        <v>652.34056272401904</v>
      </c>
      <c r="AI41" s="44">
        <v>1.4999999999999999E-2</v>
      </c>
      <c r="AJ41" s="15">
        <f>_xlfn.XLOOKUP($AF41,Warranty!B:B,Warranty!E:E)</f>
        <v>1.4999999999999999E-2</v>
      </c>
      <c r="AK41" s="8">
        <f>IF($I41="AUD",VLOOKUP(RIGHT('Wk - Margins'!$G41,3),'AU Freight'!C:G,5,0),0)</f>
        <v>0</v>
      </c>
      <c r="AL41" s="15">
        <f t="shared" si="19"/>
        <v>0</v>
      </c>
      <c r="AM41" s="61">
        <f t="shared" si="20"/>
        <v>671.91077960573944</v>
      </c>
      <c r="AN41" s="63">
        <f t="shared" si="21"/>
        <v>0.33143206009379156</v>
      </c>
      <c r="AQ41" s="147"/>
    </row>
    <row r="42" spans="1:43">
      <c r="A42" s="10" t="str">
        <f>'Input - Bookings'!A42</f>
        <v>10-02</v>
      </c>
      <c r="B42" s="11" t="str">
        <f>'Input - Bookings'!C42</f>
        <v>A</v>
      </c>
      <c r="C42" s="11" t="str">
        <f>'Input - Bookings'!H42</f>
        <v>ID</v>
      </c>
      <c r="D42" s="24" t="str">
        <f>'Input - Bookings'!E42</f>
        <v>067</v>
      </c>
      <c r="E42" s="24" t="str">
        <f>'Input - Bookings'!G42</f>
        <v>PT UNIVERSAL TRAKTOR</v>
      </c>
      <c r="F42" s="146" t="str">
        <f>'Input - Bookings'!I42</f>
        <v>H63764</v>
      </c>
      <c r="G42" s="24" t="str">
        <f>'Input - Bookings'!L42</f>
        <v>A3D4</v>
      </c>
      <c r="H42" s="24" t="str">
        <f>'Input - Bookings'!M42</f>
        <v>MPC15</v>
      </c>
      <c r="I42" s="24" t="str">
        <f>'Input - Bookings'!B42</f>
        <v>USD</v>
      </c>
      <c r="J42" s="13" t="str">
        <f>IF(I42="USD",INDEX('AP Plants'!A:A,MATCH(G42,'AP Plants'!D:D,0)),INDEX('Australia Plants'!A:A,MATCH(G42,'Australia Plants'!D:D,0)))</f>
        <v>Staxx</v>
      </c>
      <c r="K42" s="73">
        <v>1</v>
      </c>
      <c r="L42" s="97">
        <v>1440</v>
      </c>
      <c r="M42" s="97">
        <v>1005</v>
      </c>
      <c r="N42" s="99">
        <v>0.33143206009379156</v>
      </c>
      <c r="O42" s="25">
        <f t="shared" si="13"/>
        <v>0.30208333333333337</v>
      </c>
      <c r="P42" s="14">
        <f>IFERROR(IF(OR(B42&amp;C42="PAU",B42&amp;C42="AIN"),VLOOKUP(B42&amp;C42&amp;G42,#REF!,8,0),VLOOKUP(B42&amp;G42,#REF!,8,0)),0)</f>
        <v>0</v>
      </c>
      <c r="Q42" s="15">
        <f t="shared" si="14"/>
        <v>0.33143206009379156</v>
      </c>
      <c r="R42" s="16" t="str">
        <f t="shared" si="15"/>
        <v>AOP</v>
      </c>
      <c r="S42" s="17">
        <f t="shared" si="16"/>
        <v>333.08922039426051</v>
      </c>
      <c r="T42" s="18">
        <f t="shared" si="17"/>
        <v>333.08922039426051</v>
      </c>
      <c r="U42" s="23">
        <f t="shared" si="4"/>
        <v>1005</v>
      </c>
      <c r="Y42" s="8" t="str">
        <f t="shared" si="18"/>
        <v>AIDH63764MPC15</v>
      </c>
      <c r="Z42" s="8" t="str">
        <f>IF(Y42='Input - Bookings'!Q57,"OK","Check")</f>
        <v>Check</v>
      </c>
      <c r="AA42" s="118"/>
      <c r="AB42" s="103"/>
      <c r="AC42" s="103"/>
      <c r="AD42" s="100">
        <f t="shared" si="23"/>
        <v>652.34056272401904</v>
      </c>
      <c r="AE42" s="100"/>
      <c r="AF42" s="8" t="str">
        <f t="array" ref="AF42">_xlfn.XLOOKUP($G42,'AP Plants'!D:D,'AP Plants'!B:B)</f>
        <v>Class 3</v>
      </c>
      <c r="AG42" s="102"/>
      <c r="AH42" s="102">
        <f t="shared" si="10"/>
        <v>652.34056272401904</v>
      </c>
      <c r="AI42" s="44">
        <v>1.4999999999999999E-2</v>
      </c>
      <c r="AJ42" s="15">
        <f>_xlfn.XLOOKUP($AF42,Warranty!B:B,Warranty!E:E)</f>
        <v>1.4999999999999999E-2</v>
      </c>
      <c r="AK42" s="8">
        <f>IF($I42="AUD",VLOOKUP(RIGHT('Wk - Margins'!$G42,3),'AU Freight'!C:G,5,0),0)</f>
        <v>0</v>
      </c>
      <c r="AL42" s="15">
        <f t="shared" si="19"/>
        <v>0</v>
      </c>
      <c r="AM42" s="61">
        <f t="shared" si="20"/>
        <v>671.91077960573944</v>
      </c>
      <c r="AN42" s="63">
        <f t="shared" si="21"/>
        <v>0.33143206009379156</v>
      </c>
      <c r="AQ42" s="147"/>
    </row>
    <row r="43" spans="1:43">
      <c r="A43" s="10" t="str">
        <f>'Input - Bookings'!A43</f>
        <v>10-02</v>
      </c>
      <c r="B43" s="11" t="str">
        <f>'Input - Bookings'!C43</f>
        <v>A</v>
      </c>
      <c r="C43" s="11" t="str">
        <f>'Input - Bookings'!H43</f>
        <v>ID</v>
      </c>
      <c r="D43" s="24" t="str">
        <f>'Input - Bookings'!E43</f>
        <v>067</v>
      </c>
      <c r="E43" s="24" t="str">
        <f>'Input - Bookings'!G43</f>
        <v>PT UNIVERSAL TRAKTOR</v>
      </c>
      <c r="F43" s="146" t="str">
        <f>'Input - Bookings'!I43</f>
        <v>H63765</v>
      </c>
      <c r="G43" s="24" t="str">
        <f>'Input - Bookings'!L43</f>
        <v>A3D4</v>
      </c>
      <c r="H43" s="24" t="str">
        <f>'Input - Bookings'!M43</f>
        <v>MPC15</v>
      </c>
      <c r="I43" s="24" t="str">
        <f>'Input - Bookings'!B43</f>
        <v>USD</v>
      </c>
      <c r="J43" s="13" t="str">
        <f>IF(I43="USD",INDEX('AP Plants'!A:A,MATCH(G43,'AP Plants'!D:D,0)),INDEX('Australia Plants'!A:A,MATCH(G43,'Australia Plants'!D:D,0)))</f>
        <v>Staxx</v>
      </c>
      <c r="K43" s="73">
        <v>1</v>
      </c>
      <c r="L43" s="97">
        <v>1440</v>
      </c>
      <c r="M43" s="97">
        <v>1005</v>
      </c>
      <c r="N43" s="99">
        <v>0.33143206009379156</v>
      </c>
      <c r="O43" s="25">
        <f t="shared" si="13"/>
        <v>0.30208333333333337</v>
      </c>
      <c r="P43" s="14">
        <f>IFERROR(IF(OR(B43&amp;C43="PAU",B43&amp;C43="AIN"),VLOOKUP(B43&amp;C43&amp;G43,#REF!,8,0),VLOOKUP(B43&amp;G43,#REF!,8,0)),0)</f>
        <v>0</v>
      </c>
      <c r="Q43" s="15">
        <f t="shared" si="14"/>
        <v>0.33143206009379156</v>
      </c>
      <c r="R43" s="16" t="str">
        <f t="shared" si="15"/>
        <v>AOP</v>
      </c>
      <c r="S43" s="17">
        <f t="shared" si="16"/>
        <v>333.08922039426051</v>
      </c>
      <c r="T43" s="18">
        <f t="shared" si="17"/>
        <v>333.08922039426051</v>
      </c>
      <c r="U43" s="23">
        <f t="shared" si="4"/>
        <v>1005</v>
      </c>
      <c r="Y43" s="8" t="str">
        <f t="shared" si="18"/>
        <v>AIDH63765MPC15</v>
      </c>
      <c r="Z43" s="8" t="str">
        <f>IF(Y43='Input - Bookings'!Q60,"OK","Check")</f>
        <v>Check</v>
      </c>
      <c r="AA43" s="139"/>
      <c r="AB43" s="103"/>
      <c r="AC43" s="103"/>
      <c r="AD43" s="100">
        <f t="shared" si="23"/>
        <v>652.34056272401904</v>
      </c>
      <c r="AE43" s="100"/>
      <c r="AF43" s="8" t="str">
        <f t="array" ref="AF43">_xlfn.XLOOKUP($G43,'AP Plants'!D:D,'AP Plants'!B:B)</f>
        <v>Class 3</v>
      </c>
      <c r="AG43" s="102"/>
      <c r="AH43" s="102">
        <f t="shared" si="10"/>
        <v>652.34056272401904</v>
      </c>
      <c r="AI43" s="44">
        <v>1.4999999999999999E-2</v>
      </c>
      <c r="AJ43" s="15">
        <f>_xlfn.XLOOKUP($AF43,Warranty!B:B,Warranty!E:E)</f>
        <v>1.4999999999999999E-2</v>
      </c>
      <c r="AK43" s="8">
        <f>IF($I43="AUD",VLOOKUP(RIGHT('Wk - Margins'!$G43,3),'AU Freight'!C:G,5,0),0)</f>
        <v>0</v>
      </c>
      <c r="AL43" s="15">
        <f t="shared" si="19"/>
        <v>0</v>
      </c>
      <c r="AM43" s="61">
        <f t="shared" si="20"/>
        <v>671.91077960573944</v>
      </c>
      <c r="AN43" s="63">
        <f t="shared" si="21"/>
        <v>0.33143206009379156</v>
      </c>
      <c r="AQ43" s="147"/>
    </row>
    <row r="44" spans="1:43">
      <c r="A44" s="10" t="str">
        <f>'Input - Bookings'!A44</f>
        <v>10-02</v>
      </c>
      <c r="B44" s="11" t="str">
        <f>'Input - Bookings'!C44</f>
        <v>A</v>
      </c>
      <c r="C44" s="11" t="str">
        <f>'Input - Bookings'!H44</f>
        <v>ID</v>
      </c>
      <c r="D44" s="24" t="str">
        <f>'Input - Bookings'!E44</f>
        <v>067</v>
      </c>
      <c r="E44" s="24" t="str">
        <f>'Input - Bookings'!G44</f>
        <v>PT UNIVERSAL TRAKTOR</v>
      </c>
      <c r="F44" s="146" t="str">
        <f>'Input - Bookings'!I44</f>
        <v>H63766</v>
      </c>
      <c r="G44" s="24" t="str">
        <f>'Input - Bookings'!L44</f>
        <v>A3D4</v>
      </c>
      <c r="H44" s="24" t="str">
        <f>'Input - Bookings'!M44</f>
        <v>MPC15</v>
      </c>
      <c r="I44" s="24" t="str">
        <f>'Input - Bookings'!B44</f>
        <v>USD</v>
      </c>
      <c r="J44" s="13" t="str">
        <f>IF(I44="USD",INDEX('AP Plants'!A:A,MATCH(G44,'AP Plants'!D:D,0)),INDEX('Australia Plants'!A:A,MATCH(G44,'Australia Plants'!D:D,0)))</f>
        <v>Staxx</v>
      </c>
      <c r="K44" s="73">
        <v>1</v>
      </c>
      <c r="L44" s="97">
        <v>1440</v>
      </c>
      <c r="M44" s="97">
        <v>1005</v>
      </c>
      <c r="N44" s="99">
        <v>0.33143206009379156</v>
      </c>
      <c r="O44" s="25">
        <f t="shared" si="13"/>
        <v>0.30208333333333337</v>
      </c>
      <c r="P44" s="14">
        <f>IFERROR(IF(OR(B44&amp;C44="PAU",B44&amp;C44="AIN"),VLOOKUP(B44&amp;C44&amp;G44,#REF!,8,0),VLOOKUP(B44&amp;G44,#REF!,8,0)),0)</f>
        <v>0</v>
      </c>
      <c r="Q44" s="15">
        <f t="shared" si="14"/>
        <v>0.33143206009379156</v>
      </c>
      <c r="R44" s="16" t="str">
        <f t="shared" si="15"/>
        <v>AOP</v>
      </c>
      <c r="S44" s="17">
        <f t="shared" si="16"/>
        <v>333.08922039426051</v>
      </c>
      <c r="T44" s="18">
        <f t="shared" si="17"/>
        <v>333.08922039426051</v>
      </c>
      <c r="U44" s="23">
        <f t="shared" si="4"/>
        <v>1005</v>
      </c>
      <c r="Y44" s="8" t="str">
        <f t="shared" si="18"/>
        <v>AIDH63766MPC15</v>
      </c>
      <c r="Z44" s="8" t="str">
        <f>IF(Y44='Input - Bookings'!Q36,"OK","Check")</f>
        <v>Check</v>
      </c>
      <c r="AA44" s="139"/>
      <c r="AB44" s="103"/>
      <c r="AC44" s="103"/>
      <c r="AD44" s="100">
        <f t="shared" si="23"/>
        <v>652.34056272401904</v>
      </c>
      <c r="AE44" s="100"/>
      <c r="AF44" s="8" t="str">
        <f t="array" ref="AF44">_xlfn.XLOOKUP($G44,'AP Plants'!D:D,'AP Plants'!B:B)</f>
        <v>Class 3</v>
      </c>
      <c r="AG44" s="102"/>
      <c r="AH44" s="102">
        <f t="shared" si="10"/>
        <v>652.34056272401904</v>
      </c>
      <c r="AI44" s="44">
        <v>1.4999999999999999E-2</v>
      </c>
      <c r="AJ44" s="15">
        <f>_xlfn.XLOOKUP($AF44,Warranty!B:B,Warranty!E:E)</f>
        <v>1.4999999999999999E-2</v>
      </c>
      <c r="AK44" s="8">
        <f>IF($I44="AUD",VLOOKUP(RIGHT('Wk - Margins'!$G44,3),'AU Freight'!C:G,5,0),0)</f>
        <v>0</v>
      </c>
      <c r="AL44" s="15">
        <f t="shared" si="19"/>
        <v>0</v>
      </c>
      <c r="AM44" s="61">
        <f t="shared" si="20"/>
        <v>671.91077960573944</v>
      </c>
      <c r="AN44" s="63">
        <f t="shared" si="21"/>
        <v>0.33143206009379156</v>
      </c>
      <c r="AQ44" s="147"/>
    </row>
    <row r="45" spans="1:43">
      <c r="A45" s="10" t="str">
        <f>'Input - Bookings'!A45</f>
        <v>10-02</v>
      </c>
      <c r="B45" s="11" t="str">
        <f>'Input - Bookings'!C45</f>
        <v>A</v>
      </c>
      <c r="C45" s="11" t="str">
        <f>'Input - Bookings'!H45</f>
        <v>ID</v>
      </c>
      <c r="D45" s="24" t="str">
        <f>'Input - Bookings'!E45</f>
        <v>067</v>
      </c>
      <c r="E45" s="24" t="str">
        <f>'Input - Bookings'!G45</f>
        <v>PT UNIVERSAL TRAKTOR</v>
      </c>
      <c r="F45" s="146" t="str">
        <f>'Input - Bookings'!I45</f>
        <v>H63767</v>
      </c>
      <c r="G45" s="24" t="str">
        <f>'Input - Bookings'!L45</f>
        <v>A3D4</v>
      </c>
      <c r="H45" s="24" t="str">
        <f>'Input - Bookings'!M45</f>
        <v>MPC15</v>
      </c>
      <c r="I45" s="24" t="str">
        <f>'Input - Bookings'!B45</f>
        <v>USD</v>
      </c>
      <c r="J45" s="13" t="str">
        <f>IF(I45="USD",INDEX('AP Plants'!A:A,MATCH(G45,'AP Plants'!D:D,0)),INDEX('Australia Plants'!A:A,MATCH(G45,'Australia Plants'!D:D,0)))</f>
        <v>Staxx</v>
      </c>
      <c r="K45" s="73">
        <v>1</v>
      </c>
      <c r="L45" s="97">
        <v>1440</v>
      </c>
      <c r="M45" s="97">
        <v>1005</v>
      </c>
      <c r="N45" s="99">
        <v>0.33143206009379156</v>
      </c>
      <c r="O45" s="25">
        <f t="shared" si="13"/>
        <v>0.30208333333333337</v>
      </c>
      <c r="P45" s="14">
        <f>IFERROR(IF(OR(B45&amp;C45="PAU",B45&amp;C45="AIN"),VLOOKUP(B45&amp;C45&amp;G45,#REF!,8,0),VLOOKUP(B45&amp;G45,#REF!,8,0)),0)</f>
        <v>0</v>
      </c>
      <c r="Q45" s="15">
        <f t="shared" si="14"/>
        <v>0.33143206009379156</v>
      </c>
      <c r="R45" s="16" t="str">
        <f t="shared" si="15"/>
        <v>AOP</v>
      </c>
      <c r="S45" s="17">
        <f t="shared" si="16"/>
        <v>333.08922039426051</v>
      </c>
      <c r="T45" s="18">
        <f t="shared" si="17"/>
        <v>333.08922039426051</v>
      </c>
      <c r="U45" s="23">
        <f t="shared" si="4"/>
        <v>1005</v>
      </c>
      <c r="Y45" s="8" t="str">
        <f t="shared" si="18"/>
        <v>AIDH63767MPC15</v>
      </c>
      <c r="Z45" s="8" t="str">
        <f>IF(Y45='Input - Bookings'!Q4,"OK","Check")</f>
        <v>Check</v>
      </c>
      <c r="AA45" s="139"/>
      <c r="AB45" s="103"/>
      <c r="AC45" s="103"/>
      <c r="AD45" s="100">
        <f t="shared" si="23"/>
        <v>652.34056272401904</v>
      </c>
      <c r="AE45" s="100"/>
      <c r="AF45" s="31" t="str">
        <f t="array" ref="AF45">_xlfn.XLOOKUP($G45,'AP Plants'!D:D,'AP Plants'!B:B)</f>
        <v>Class 3</v>
      </c>
      <c r="AG45" s="102"/>
      <c r="AH45" s="102">
        <f t="shared" si="10"/>
        <v>652.34056272401904</v>
      </c>
      <c r="AI45" s="44">
        <v>1.4999999999999999E-2</v>
      </c>
      <c r="AJ45" s="15">
        <f>_xlfn.XLOOKUP($AF45,Warranty!B:B,Warranty!E:E)</f>
        <v>1.4999999999999999E-2</v>
      </c>
      <c r="AK45" s="8">
        <f>IF($I45="AUD",VLOOKUP(RIGHT('Wk - Margins'!$G45,3),'AU Freight'!C:G,5,0),0)</f>
        <v>0</v>
      </c>
      <c r="AL45" s="15">
        <f t="shared" si="19"/>
        <v>0</v>
      </c>
      <c r="AM45" s="61">
        <f t="shared" si="20"/>
        <v>671.91077960573944</v>
      </c>
      <c r="AN45" s="63">
        <f t="shared" si="21"/>
        <v>0.33143206009379156</v>
      </c>
      <c r="AQ45" s="147"/>
    </row>
    <row r="46" spans="1:43">
      <c r="A46" s="10" t="str">
        <f>'Input - Bookings'!A46</f>
        <v>10-02</v>
      </c>
      <c r="B46" s="11" t="str">
        <f>'Input - Bookings'!C46</f>
        <v>A</v>
      </c>
      <c r="C46" s="11" t="str">
        <f>'Input - Bookings'!H46</f>
        <v>ID</v>
      </c>
      <c r="D46" s="24" t="str">
        <f>'Input - Bookings'!E46</f>
        <v>067</v>
      </c>
      <c r="E46" s="24" t="str">
        <f>'Input - Bookings'!G46</f>
        <v>PT UNIVERSAL TRAKTOR</v>
      </c>
      <c r="F46" s="146" t="str">
        <f>'Input - Bookings'!I46</f>
        <v>H63768</v>
      </c>
      <c r="G46" s="24" t="str">
        <f>'Input - Bookings'!L46</f>
        <v>A3D4</v>
      </c>
      <c r="H46" s="24" t="str">
        <f>'Input - Bookings'!M46</f>
        <v>MPC15</v>
      </c>
      <c r="I46" s="24" t="str">
        <f>'Input - Bookings'!B46</f>
        <v>USD</v>
      </c>
      <c r="J46" s="13" t="str">
        <f>IF(I46="USD",INDEX('AP Plants'!A:A,MATCH(G46,'AP Plants'!D:D,0)),INDEX('Australia Plants'!A:A,MATCH(G46,'Australia Plants'!D:D,0)))</f>
        <v>Staxx</v>
      </c>
      <c r="K46" s="73">
        <v>1</v>
      </c>
      <c r="L46" s="97">
        <v>1440</v>
      </c>
      <c r="M46" s="97">
        <v>1005</v>
      </c>
      <c r="N46" s="99">
        <v>0.33143206009379156</v>
      </c>
      <c r="O46" s="25">
        <f t="shared" si="13"/>
        <v>0.30208333333333337</v>
      </c>
      <c r="P46" s="14">
        <f>IFERROR(IF(OR(B46&amp;C46="PAU",B46&amp;C46="AIN"),VLOOKUP(B46&amp;C46&amp;G46,#REF!,8,0),VLOOKUP(B46&amp;G46,#REF!,8,0)),0)</f>
        <v>0</v>
      </c>
      <c r="Q46" s="15">
        <f t="shared" si="14"/>
        <v>0.33143206009379156</v>
      </c>
      <c r="R46" s="16" t="str">
        <f t="shared" si="15"/>
        <v>AOP</v>
      </c>
      <c r="S46" s="17">
        <f t="shared" si="16"/>
        <v>333.08922039426051</v>
      </c>
      <c r="T46" s="18">
        <f t="shared" si="17"/>
        <v>333.08922039426051</v>
      </c>
      <c r="U46" s="23">
        <f t="shared" si="4"/>
        <v>1005</v>
      </c>
      <c r="Y46" s="8" t="str">
        <f t="shared" si="18"/>
        <v>AIDH63768MPC15</v>
      </c>
      <c r="Z46" s="8" t="str">
        <f>IF(Y46='Input - Bookings'!Q38,"OK","Check")</f>
        <v>Check</v>
      </c>
      <c r="AA46" s="118"/>
      <c r="AB46" s="103"/>
      <c r="AC46" s="103"/>
      <c r="AD46" s="100">
        <f t="shared" si="23"/>
        <v>652.34056272401904</v>
      </c>
      <c r="AE46" s="100"/>
      <c r="AF46" s="8" t="str">
        <f t="array" ref="AF46">_xlfn.XLOOKUP($G46,'AP Plants'!D:D,'AP Plants'!B:B)</f>
        <v>Class 3</v>
      </c>
      <c r="AG46" s="102"/>
      <c r="AH46" s="102">
        <f t="shared" si="10"/>
        <v>652.34056272401904</v>
      </c>
      <c r="AI46" s="44">
        <v>1.4999999999999999E-2</v>
      </c>
      <c r="AJ46" s="15">
        <f>_xlfn.XLOOKUP($AF46,Warranty!B:B,Warranty!E:E)</f>
        <v>1.4999999999999999E-2</v>
      </c>
      <c r="AK46" s="8">
        <f>IF($I46="AUD",VLOOKUP(RIGHT('Wk - Margins'!$G46,3),'AU Freight'!C:G,5,0),0)</f>
        <v>0</v>
      </c>
      <c r="AL46" s="15">
        <f t="shared" si="19"/>
        <v>0</v>
      </c>
      <c r="AM46" s="61">
        <f t="shared" si="20"/>
        <v>671.91077960573944</v>
      </c>
      <c r="AN46" s="63">
        <f t="shared" si="21"/>
        <v>0.33143206009379156</v>
      </c>
      <c r="AQ46" s="147"/>
    </row>
    <row r="47" spans="1:43">
      <c r="A47" s="10" t="str">
        <f>'Input - Bookings'!A47</f>
        <v>10-02</v>
      </c>
      <c r="B47" s="11" t="str">
        <f>'Input - Bookings'!C47</f>
        <v>A</v>
      </c>
      <c r="C47" s="11" t="str">
        <f>'Input - Bookings'!H47</f>
        <v>ID</v>
      </c>
      <c r="D47" s="24" t="str">
        <f>'Input - Bookings'!E47</f>
        <v>067</v>
      </c>
      <c r="E47" s="24" t="str">
        <f>'Input - Bookings'!G47</f>
        <v>PT UNIVERSAL TRAKTOR</v>
      </c>
      <c r="F47" s="146" t="str">
        <f>'Input - Bookings'!I47</f>
        <v>H63769</v>
      </c>
      <c r="G47" s="24" t="str">
        <f>'Input - Bookings'!L47</f>
        <v>A3D4</v>
      </c>
      <c r="H47" s="24" t="str">
        <f>'Input - Bookings'!M47</f>
        <v>MPC15</v>
      </c>
      <c r="I47" s="24" t="str">
        <f>'Input - Bookings'!B47</f>
        <v>USD</v>
      </c>
      <c r="J47" s="13" t="str">
        <f>IF(I47="USD",INDEX('AP Plants'!A:A,MATCH(G47,'AP Plants'!D:D,0)),INDEX('Australia Plants'!A:A,MATCH(G47,'Australia Plants'!D:D,0)))</f>
        <v>Staxx</v>
      </c>
      <c r="K47" s="73">
        <v>1</v>
      </c>
      <c r="L47" s="97">
        <v>1440</v>
      </c>
      <c r="M47" s="97">
        <v>1005</v>
      </c>
      <c r="N47" s="99">
        <v>0.33143206009379156</v>
      </c>
      <c r="O47" s="25">
        <f t="shared" si="13"/>
        <v>0.30208333333333337</v>
      </c>
      <c r="P47" s="14">
        <f>IFERROR(IF(OR(B47&amp;C47="PAU",B47&amp;C47="AIN"),VLOOKUP(B47&amp;C47&amp;G47,#REF!,8,0),VLOOKUP(B47&amp;G47,#REF!,8,0)),0)</f>
        <v>0</v>
      </c>
      <c r="Q47" s="15">
        <f t="shared" si="14"/>
        <v>0.33143206009379156</v>
      </c>
      <c r="R47" s="16" t="str">
        <f t="shared" si="15"/>
        <v>AOP</v>
      </c>
      <c r="S47" s="17">
        <f t="shared" si="16"/>
        <v>333.08922039426051</v>
      </c>
      <c r="T47" s="18">
        <f t="shared" si="17"/>
        <v>333.08922039426051</v>
      </c>
      <c r="U47" s="23">
        <f t="shared" si="4"/>
        <v>1005</v>
      </c>
      <c r="Y47" s="8" t="str">
        <f t="shared" si="18"/>
        <v>AIDH63769MPC15</v>
      </c>
      <c r="Z47" s="8" t="str">
        <f>IF(Y47='Input - Bookings'!Q39,"OK","Check")</f>
        <v>Check</v>
      </c>
      <c r="AA47" s="118"/>
      <c r="AB47" s="103"/>
      <c r="AC47" s="103"/>
      <c r="AD47" s="100">
        <f t="shared" si="23"/>
        <v>652.34056272401904</v>
      </c>
      <c r="AE47" s="100"/>
      <c r="AF47" s="8" t="str">
        <f t="array" ref="AF47">_xlfn.XLOOKUP($G47,'AP Plants'!D:D,'AP Plants'!B:B)</f>
        <v>Class 3</v>
      </c>
      <c r="AG47" s="102"/>
      <c r="AH47" s="102">
        <f t="shared" si="10"/>
        <v>652.34056272401904</v>
      </c>
      <c r="AI47" s="44">
        <v>1.4999999999999999E-2</v>
      </c>
      <c r="AJ47" s="15">
        <f>_xlfn.XLOOKUP($AF47,Warranty!B:B,Warranty!E:E)</f>
        <v>1.4999999999999999E-2</v>
      </c>
      <c r="AK47" s="8">
        <f>IF($I47="AUD",VLOOKUP(RIGHT('Wk - Margins'!$G47,3),'AU Freight'!C:G,5,0),0)</f>
        <v>0</v>
      </c>
      <c r="AL47" s="15">
        <f t="shared" si="19"/>
        <v>0</v>
      </c>
      <c r="AM47" s="61">
        <f t="shared" si="20"/>
        <v>671.91077960573944</v>
      </c>
      <c r="AN47" s="63">
        <f t="shared" si="21"/>
        <v>0.33143206009379156</v>
      </c>
      <c r="AQ47" s="147"/>
    </row>
    <row r="48" spans="1:43">
      <c r="A48" s="10" t="str">
        <f>'Input - Bookings'!A48</f>
        <v>10-02</v>
      </c>
      <c r="B48" s="11" t="str">
        <f>'Input - Bookings'!C48</f>
        <v>A</v>
      </c>
      <c r="C48" s="11" t="str">
        <f>'Input - Bookings'!H48</f>
        <v>ID</v>
      </c>
      <c r="D48" s="24" t="str">
        <f>'Input - Bookings'!E48</f>
        <v>067</v>
      </c>
      <c r="E48" s="24" t="str">
        <f>'Input - Bookings'!G48</f>
        <v>PT UNIVERSAL TRAKTOR</v>
      </c>
      <c r="F48" s="146" t="str">
        <f>'Input - Bookings'!I48</f>
        <v>H63770</v>
      </c>
      <c r="G48" s="24" t="str">
        <f>'Input - Bookings'!L48</f>
        <v>A3D4</v>
      </c>
      <c r="H48" s="24" t="str">
        <f>'Input - Bookings'!M48</f>
        <v>MPC15</v>
      </c>
      <c r="I48" s="24" t="str">
        <f>'Input - Bookings'!B48</f>
        <v>USD</v>
      </c>
      <c r="J48" s="13" t="str">
        <f>IF(I48="USD",INDEX('AP Plants'!A:A,MATCH(G48,'AP Plants'!D:D,0)),INDEX('Australia Plants'!A:A,MATCH(G48,'Australia Plants'!D:D,0)))</f>
        <v>Staxx</v>
      </c>
      <c r="K48" s="73">
        <v>1</v>
      </c>
      <c r="L48" s="97">
        <v>1440</v>
      </c>
      <c r="M48" s="97">
        <v>1005</v>
      </c>
      <c r="N48" s="99">
        <v>0.33143206009379156</v>
      </c>
      <c r="O48" s="25">
        <f t="shared" si="13"/>
        <v>0.30208333333333337</v>
      </c>
      <c r="P48" s="14">
        <f>IFERROR(IF(OR(B48&amp;C48="PAU",B48&amp;C48="AIN"),VLOOKUP(B48&amp;C48&amp;G48,#REF!,8,0),VLOOKUP(B48&amp;G48,#REF!,8,0)),0)</f>
        <v>0</v>
      </c>
      <c r="Q48" s="15">
        <f t="shared" si="14"/>
        <v>0.33143206009379156</v>
      </c>
      <c r="R48" s="16" t="str">
        <f t="shared" si="15"/>
        <v>AOP</v>
      </c>
      <c r="S48" s="17">
        <f t="shared" si="16"/>
        <v>333.08922039426051</v>
      </c>
      <c r="T48" s="18">
        <f t="shared" si="17"/>
        <v>333.08922039426051</v>
      </c>
      <c r="U48" s="23">
        <f t="shared" si="4"/>
        <v>1005</v>
      </c>
      <c r="Y48" s="8" t="str">
        <f t="shared" si="18"/>
        <v>AIDH63770MPC15</v>
      </c>
      <c r="Z48" s="8" t="str">
        <f>IF(Y48='Input - Bookings'!Q40,"OK","Check")</f>
        <v>Check</v>
      </c>
      <c r="AA48" s="118"/>
      <c r="AB48" s="103"/>
      <c r="AC48" s="103"/>
      <c r="AD48" s="100">
        <f t="shared" si="23"/>
        <v>652.34056272401904</v>
      </c>
      <c r="AE48" s="100"/>
      <c r="AF48" s="8" t="str">
        <f t="array" ref="AF48">_xlfn.XLOOKUP($G48,'AP Plants'!D:D,'AP Plants'!B:B)</f>
        <v>Class 3</v>
      </c>
      <c r="AG48" s="102"/>
      <c r="AH48" s="102">
        <f t="shared" si="10"/>
        <v>652.34056272401904</v>
      </c>
      <c r="AI48" s="44">
        <v>1.4999999999999999E-2</v>
      </c>
      <c r="AJ48" s="15">
        <f>_xlfn.XLOOKUP($AF48,Warranty!B:B,Warranty!E:E)</f>
        <v>1.4999999999999999E-2</v>
      </c>
      <c r="AK48" s="8">
        <f>IF($I48="AUD",VLOOKUP(RIGHT('Wk - Margins'!$G48,3),'AU Freight'!C:G,5,0),0)</f>
        <v>0</v>
      </c>
      <c r="AL48" s="15">
        <f t="shared" si="19"/>
        <v>0</v>
      </c>
      <c r="AM48" s="61">
        <f t="shared" si="20"/>
        <v>671.91077960573944</v>
      </c>
      <c r="AN48" s="63">
        <f t="shared" si="21"/>
        <v>0.33143206009379156</v>
      </c>
      <c r="AQ48" s="147"/>
    </row>
    <row r="49" spans="1:43">
      <c r="A49" s="10" t="str">
        <f>'Input - Bookings'!A49</f>
        <v>10-02</v>
      </c>
      <c r="B49" s="11" t="str">
        <f>'Input - Bookings'!C49</f>
        <v>A</v>
      </c>
      <c r="C49" s="11" t="str">
        <f>'Input - Bookings'!H49</f>
        <v>ID</v>
      </c>
      <c r="D49" s="24" t="str">
        <f>'Input - Bookings'!E49</f>
        <v>067</v>
      </c>
      <c r="E49" s="24" t="str">
        <f>'Input - Bookings'!G49</f>
        <v>PT UNIVERSAL TRAKTOR</v>
      </c>
      <c r="F49" s="146" t="str">
        <f>'Input - Bookings'!I49</f>
        <v>H63771</v>
      </c>
      <c r="G49" s="24" t="str">
        <f>'Input - Bookings'!L49</f>
        <v>A3D4</v>
      </c>
      <c r="H49" s="24" t="str">
        <f>'Input - Bookings'!M49</f>
        <v>MPC15</v>
      </c>
      <c r="I49" s="24" t="str">
        <f>'Input - Bookings'!B49</f>
        <v>USD</v>
      </c>
      <c r="J49" s="13" t="str">
        <f>IF(I49="USD",INDEX('AP Plants'!A:A,MATCH(G49,'AP Plants'!D:D,0)),INDEX('Australia Plants'!A:A,MATCH(G49,'Australia Plants'!D:D,0)))</f>
        <v>Staxx</v>
      </c>
      <c r="K49" s="73">
        <v>1</v>
      </c>
      <c r="L49" s="97">
        <v>1440</v>
      </c>
      <c r="M49" s="97">
        <v>1005</v>
      </c>
      <c r="N49" s="99">
        <v>0.33143206009379156</v>
      </c>
      <c r="O49" s="25">
        <f t="shared" si="13"/>
        <v>0.30208333333333337</v>
      </c>
      <c r="P49" s="14">
        <f>IFERROR(IF(OR(B49&amp;C49="PAU",B49&amp;C49="AIN"),VLOOKUP(B49&amp;C49&amp;G49,#REF!,8,0),VLOOKUP(B49&amp;G49,#REF!,8,0)),0)</f>
        <v>0</v>
      </c>
      <c r="Q49" s="15">
        <f t="shared" si="14"/>
        <v>0.33143206009379156</v>
      </c>
      <c r="R49" s="16" t="str">
        <f t="shared" si="15"/>
        <v>AOP</v>
      </c>
      <c r="S49" s="17">
        <f t="shared" si="16"/>
        <v>333.08922039426051</v>
      </c>
      <c r="T49" s="18">
        <f t="shared" si="17"/>
        <v>333.08922039426051</v>
      </c>
      <c r="U49" s="23">
        <f t="shared" si="4"/>
        <v>1005</v>
      </c>
      <c r="Y49" s="8" t="str">
        <f t="shared" si="18"/>
        <v>AIDH63771MPC15</v>
      </c>
      <c r="Z49" s="8" t="str">
        <f>IF(Y49='Input - Bookings'!Q41,"OK","Check")</f>
        <v>Check</v>
      </c>
      <c r="AA49" s="118"/>
      <c r="AB49" s="103"/>
      <c r="AC49" s="103"/>
      <c r="AD49" s="100">
        <f t="shared" si="23"/>
        <v>652.34056272401904</v>
      </c>
      <c r="AE49" s="100"/>
      <c r="AF49" s="8" t="str">
        <f t="array" ref="AF49">_xlfn.XLOOKUP($G49,'AP Plants'!D:D,'AP Plants'!B:B)</f>
        <v>Class 3</v>
      </c>
      <c r="AG49" s="102"/>
      <c r="AH49" s="102">
        <f t="shared" si="10"/>
        <v>652.34056272401904</v>
      </c>
      <c r="AI49" s="44">
        <v>1.4999999999999999E-2</v>
      </c>
      <c r="AJ49" s="15">
        <f>_xlfn.XLOOKUP($AF49,Warranty!B:B,Warranty!E:E)</f>
        <v>1.4999999999999999E-2</v>
      </c>
      <c r="AK49" s="8">
        <f>IF($I49="AUD",VLOOKUP(RIGHT('Wk - Margins'!$G49,3),'AU Freight'!C:G,5,0),0)</f>
        <v>0</v>
      </c>
      <c r="AL49" s="15">
        <f t="shared" si="19"/>
        <v>0</v>
      </c>
      <c r="AM49" s="61">
        <f t="shared" si="20"/>
        <v>671.91077960573944</v>
      </c>
      <c r="AN49" s="63">
        <f t="shared" si="21"/>
        <v>0.33143206009379156</v>
      </c>
      <c r="AQ49" s="147"/>
    </row>
    <row r="50" spans="1:43">
      <c r="A50" s="10" t="str">
        <f>'Input - Bookings'!A50</f>
        <v>10-02</v>
      </c>
      <c r="B50" s="11" t="str">
        <f>'Input - Bookings'!C50</f>
        <v>A</v>
      </c>
      <c r="C50" s="11" t="str">
        <f>'Input - Bookings'!H50</f>
        <v>ID</v>
      </c>
      <c r="D50" s="24" t="str">
        <f>'Input - Bookings'!E50</f>
        <v>067</v>
      </c>
      <c r="E50" s="24" t="str">
        <f>'Input - Bookings'!G50</f>
        <v>PT UNIVERSAL TRAKTOR</v>
      </c>
      <c r="F50" s="146" t="str">
        <f>'Input - Bookings'!I50</f>
        <v>H63772</v>
      </c>
      <c r="G50" s="24" t="str">
        <f>'Input - Bookings'!L50</f>
        <v>A3D4</v>
      </c>
      <c r="H50" s="24" t="str">
        <f>'Input - Bookings'!M50</f>
        <v>MPC15</v>
      </c>
      <c r="I50" s="24" t="str">
        <f>'Input - Bookings'!B50</f>
        <v>USD</v>
      </c>
      <c r="J50" s="13" t="str">
        <f>IF(I50="USD",INDEX('AP Plants'!A:A,MATCH(G50,'AP Plants'!D:D,0)),INDEX('Australia Plants'!A:A,MATCH(G50,'Australia Plants'!D:D,0)))</f>
        <v>Staxx</v>
      </c>
      <c r="K50" s="73">
        <v>1</v>
      </c>
      <c r="L50" s="97">
        <v>1440</v>
      </c>
      <c r="M50" s="97">
        <v>1005</v>
      </c>
      <c r="N50" s="99">
        <v>0.33143206009379156</v>
      </c>
      <c r="O50" s="25">
        <f t="shared" si="13"/>
        <v>0.30208333333333337</v>
      </c>
      <c r="P50" s="14">
        <f>IFERROR(IF(OR(B50&amp;C50="PAU",B50&amp;C50="AIN"),VLOOKUP(B50&amp;C50&amp;G50,#REF!,8,0),VLOOKUP(B50&amp;G50,#REF!,8,0)),0)</f>
        <v>0</v>
      </c>
      <c r="Q50" s="15">
        <f t="shared" si="14"/>
        <v>0.33143206009379156</v>
      </c>
      <c r="R50" s="16" t="str">
        <f t="shared" si="15"/>
        <v>AOP</v>
      </c>
      <c r="S50" s="17">
        <f t="shared" si="16"/>
        <v>333.08922039426051</v>
      </c>
      <c r="T50" s="18">
        <f t="shared" si="17"/>
        <v>333.08922039426051</v>
      </c>
      <c r="U50" s="23">
        <f t="shared" si="4"/>
        <v>1005</v>
      </c>
      <c r="Y50" s="8" t="str">
        <f t="shared" si="18"/>
        <v>AIDH63772MPC15</v>
      </c>
      <c r="Z50" s="8" t="str">
        <f>IF(Y50='Input - Bookings'!Q42,"OK","Check")</f>
        <v>Check</v>
      </c>
      <c r="AA50" s="118"/>
      <c r="AB50" s="103"/>
      <c r="AC50" s="103"/>
      <c r="AD50" s="100">
        <f t="shared" si="23"/>
        <v>652.34056272401904</v>
      </c>
      <c r="AE50" s="100"/>
      <c r="AF50" s="8" t="str">
        <f t="array" ref="AF50">_xlfn.XLOOKUP($G50,'AP Plants'!D:D,'AP Plants'!B:B)</f>
        <v>Class 3</v>
      </c>
      <c r="AG50" s="102"/>
      <c r="AH50" s="102">
        <f t="shared" si="10"/>
        <v>652.34056272401904</v>
      </c>
      <c r="AI50" s="44">
        <v>1.4999999999999999E-2</v>
      </c>
      <c r="AJ50" s="15">
        <f>_xlfn.XLOOKUP($AF50,Warranty!B:B,Warranty!E:E)</f>
        <v>1.4999999999999999E-2</v>
      </c>
      <c r="AK50" s="8">
        <f>IF($I50="AUD",VLOOKUP(RIGHT('Wk - Margins'!$G50,3),'AU Freight'!C:G,5,0),0)</f>
        <v>0</v>
      </c>
      <c r="AL50" s="15">
        <f t="shared" si="19"/>
        <v>0</v>
      </c>
      <c r="AM50" s="61">
        <f t="shared" si="20"/>
        <v>671.91077960573944</v>
      </c>
      <c r="AN50" s="63">
        <f t="shared" si="21"/>
        <v>0.33143206009379156</v>
      </c>
      <c r="AQ50" s="147"/>
    </row>
    <row r="51" spans="1:43">
      <c r="A51" s="10" t="str">
        <f>'Input - Bookings'!A51</f>
        <v>10-02</v>
      </c>
      <c r="B51" s="11" t="str">
        <f>'Input - Bookings'!C51</f>
        <v>A</v>
      </c>
      <c r="C51" s="11" t="str">
        <f>'Input - Bookings'!H51</f>
        <v>ID</v>
      </c>
      <c r="D51" s="24" t="str">
        <f>'Input - Bookings'!E51</f>
        <v>067</v>
      </c>
      <c r="E51" s="24" t="str">
        <f>'Input - Bookings'!G51</f>
        <v>PT UNIVERSAL TRAKTOR</v>
      </c>
      <c r="F51" s="146" t="str">
        <f>'Input - Bookings'!I51</f>
        <v>H63773</v>
      </c>
      <c r="G51" s="24" t="str">
        <f>'Input - Bookings'!L51</f>
        <v>A3D4</v>
      </c>
      <c r="H51" s="24" t="str">
        <f>'Input - Bookings'!M51</f>
        <v>MPC15</v>
      </c>
      <c r="I51" s="24" t="str">
        <f>'Input - Bookings'!B51</f>
        <v>USD</v>
      </c>
      <c r="J51" s="13" t="str">
        <f>IF(I51="USD",INDEX('AP Plants'!A:A,MATCH(G51,'AP Plants'!D:D,0)),INDEX('Australia Plants'!A:A,MATCH(G51,'Australia Plants'!D:D,0)))</f>
        <v>Staxx</v>
      </c>
      <c r="K51" s="73">
        <v>1</v>
      </c>
      <c r="L51" s="97">
        <v>1440</v>
      </c>
      <c r="M51" s="97">
        <v>1005</v>
      </c>
      <c r="N51" s="99">
        <v>0.33143206009379156</v>
      </c>
      <c r="O51" s="25">
        <f t="shared" si="13"/>
        <v>0.30208333333333337</v>
      </c>
      <c r="P51" s="14">
        <f>IFERROR(IF(OR(B51&amp;C51="PAU",B51&amp;C51="AIN"),VLOOKUP(B51&amp;C51&amp;G51,#REF!,8,0),VLOOKUP(B51&amp;G51,#REF!,8,0)),0)</f>
        <v>0</v>
      </c>
      <c r="Q51" s="15">
        <f t="shared" si="14"/>
        <v>0.33143206009379156</v>
      </c>
      <c r="R51" s="16" t="str">
        <f t="shared" si="15"/>
        <v>AOP</v>
      </c>
      <c r="S51" s="17">
        <f t="shared" si="16"/>
        <v>333.08922039426051</v>
      </c>
      <c r="T51" s="18">
        <f t="shared" si="17"/>
        <v>333.08922039426051</v>
      </c>
      <c r="U51" s="23">
        <f t="shared" si="4"/>
        <v>1005</v>
      </c>
      <c r="Y51" s="8" t="str">
        <f t="shared" si="18"/>
        <v>AIDH63773MPC15</v>
      </c>
      <c r="Z51" s="8" t="str">
        <f>IF(Y51='Input - Bookings'!Q43,"OK","Check")</f>
        <v>Check</v>
      </c>
      <c r="AA51" s="118"/>
      <c r="AB51" s="103"/>
      <c r="AC51" s="103"/>
      <c r="AD51" s="100">
        <f t="shared" si="23"/>
        <v>652.34056272401904</v>
      </c>
      <c r="AE51" s="100"/>
      <c r="AF51" s="8" t="str">
        <f t="array" ref="AF51">_xlfn.XLOOKUP($G51,'AP Plants'!D:D,'AP Plants'!B:B)</f>
        <v>Class 3</v>
      </c>
      <c r="AG51" s="102"/>
      <c r="AH51" s="102">
        <f t="shared" si="10"/>
        <v>652.34056272401904</v>
      </c>
      <c r="AI51" s="44">
        <v>1.4999999999999999E-2</v>
      </c>
      <c r="AJ51" s="15">
        <f>_xlfn.XLOOKUP($AF51,Warranty!B:B,Warranty!E:E)</f>
        <v>1.4999999999999999E-2</v>
      </c>
      <c r="AK51" s="8">
        <f>IF($I51="AUD",VLOOKUP(RIGHT('Wk - Margins'!$G51,3),'AU Freight'!C:G,5,0),0)</f>
        <v>0</v>
      </c>
      <c r="AL51" s="15">
        <f t="shared" si="19"/>
        <v>0</v>
      </c>
      <c r="AM51" s="61">
        <f t="shared" si="20"/>
        <v>671.91077960573944</v>
      </c>
      <c r="AN51" s="63">
        <f t="shared" si="21"/>
        <v>0.33143206009379156</v>
      </c>
      <c r="AQ51" s="147"/>
    </row>
    <row r="52" spans="1:43">
      <c r="A52" s="10" t="str">
        <f>'Input - Bookings'!A52</f>
        <v>10-02</v>
      </c>
      <c r="B52" s="11" t="str">
        <f>'Input - Bookings'!C52</f>
        <v>A</v>
      </c>
      <c r="C52" s="11" t="str">
        <f>'Input - Bookings'!H52</f>
        <v>ID</v>
      </c>
      <c r="D52" s="24" t="str">
        <f>'Input - Bookings'!E52</f>
        <v>067</v>
      </c>
      <c r="E52" s="24" t="str">
        <f>'Input - Bookings'!G52</f>
        <v>PT UNIVERSAL TRAKTOR</v>
      </c>
      <c r="F52" s="146" t="str">
        <f>'Input - Bookings'!I52</f>
        <v>H63774</v>
      </c>
      <c r="G52" s="24" t="str">
        <f>'Input - Bookings'!L52</f>
        <v>A3D4</v>
      </c>
      <c r="H52" s="24" t="str">
        <f>'Input - Bookings'!M52</f>
        <v>MPC15</v>
      </c>
      <c r="I52" s="24" t="str">
        <f>'Input - Bookings'!B52</f>
        <v>USD</v>
      </c>
      <c r="J52" s="13" t="str">
        <f>IF(I52="USD",INDEX('AP Plants'!A:A,MATCH(G52,'AP Plants'!D:D,0)),INDEX('Australia Plants'!A:A,MATCH(G52,'Australia Plants'!D:D,0)))</f>
        <v>Staxx</v>
      </c>
      <c r="K52" s="73">
        <v>1</v>
      </c>
      <c r="L52" s="97">
        <v>1440</v>
      </c>
      <c r="M52" s="97">
        <v>1005</v>
      </c>
      <c r="N52" s="99">
        <v>0.33143206009379156</v>
      </c>
      <c r="O52" s="25">
        <f t="shared" si="13"/>
        <v>0.30208333333333337</v>
      </c>
      <c r="P52" s="14">
        <f>IFERROR(IF(OR(B52&amp;C52="PAU",B52&amp;C52="AIN"),VLOOKUP(B52&amp;C52&amp;G52,#REF!,8,0),VLOOKUP(B52&amp;G52,#REF!,8,0)),0)</f>
        <v>0</v>
      </c>
      <c r="Q52" s="15">
        <f t="shared" si="14"/>
        <v>0.33143206009379156</v>
      </c>
      <c r="R52" s="16" t="str">
        <f t="shared" si="15"/>
        <v>AOP</v>
      </c>
      <c r="S52" s="17">
        <f t="shared" si="16"/>
        <v>333.08922039426051</v>
      </c>
      <c r="T52" s="18">
        <f t="shared" si="17"/>
        <v>333.08922039426051</v>
      </c>
      <c r="U52" s="23">
        <f t="shared" si="4"/>
        <v>1005</v>
      </c>
      <c r="Y52" s="8" t="str">
        <f t="shared" si="18"/>
        <v>AIDH63774MPC15</v>
      </c>
      <c r="Z52" s="8" t="str">
        <f>IF(Y52='Input - Bookings'!Q45,"OK","Check")</f>
        <v>Check</v>
      </c>
      <c r="AA52" s="118"/>
      <c r="AB52" s="103"/>
      <c r="AC52" s="103"/>
      <c r="AD52" s="100">
        <f t="shared" si="23"/>
        <v>652.34056272401904</v>
      </c>
      <c r="AE52" s="100"/>
      <c r="AF52" s="8" t="str">
        <f t="array" ref="AF52">_xlfn.XLOOKUP($G52,'AP Plants'!D:D,'AP Plants'!B:B)</f>
        <v>Class 3</v>
      </c>
      <c r="AG52" s="102"/>
      <c r="AH52" s="102">
        <f t="shared" si="10"/>
        <v>652.34056272401904</v>
      </c>
      <c r="AI52" s="44">
        <v>1.4999999999999999E-2</v>
      </c>
      <c r="AJ52" s="15">
        <f>_xlfn.XLOOKUP($AF52,Warranty!B:B,Warranty!E:E)</f>
        <v>1.4999999999999999E-2</v>
      </c>
      <c r="AK52" s="8">
        <f>IF($I52="AUD",VLOOKUP(RIGHT('Wk - Margins'!$G52,3),'AU Freight'!C:G,5,0),0)</f>
        <v>0</v>
      </c>
      <c r="AL52" s="15">
        <f t="shared" si="19"/>
        <v>0</v>
      </c>
      <c r="AM52" s="61">
        <f t="shared" si="20"/>
        <v>671.91077960573944</v>
      </c>
      <c r="AN52" s="63">
        <f t="shared" si="21"/>
        <v>0.33143206009379156</v>
      </c>
      <c r="AQ52" s="147"/>
    </row>
    <row r="53" spans="1:43" ht="13.9" customHeight="1">
      <c r="A53" s="10" t="str">
        <f>'Input - Bookings'!A53</f>
        <v>10-02</v>
      </c>
      <c r="B53" s="11" t="str">
        <f>'Input - Bookings'!C53</f>
        <v>A</v>
      </c>
      <c r="C53" s="11" t="str">
        <f>'Input - Bookings'!H53</f>
        <v>ID</v>
      </c>
      <c r="D53" s="24" t="str">
        <f>'Input - Bookings'!E53</f>
        <v>067</v>
      </c>
      <c r="E53" s="24" t="str">
        <f>'Input - Bookings'!G53</f>
        <v>PT UNIVERSAL TRAKTOR</v>
      </c>
      <c r="F53" s="146" t="str">
        <f>'Input - Bookings'!I53</f>
        <v>H63775</v>
      </c>
      <c r="G53" s="24" t="str">
        <f>'Input - Bookings'!L53</f>
        <v>A3D4</v>
      </c>
      <c r="H53" s="24" t="str">
        <f>'Input - Bookings'!M53</f>
        <v>MPC15</v>
      </c>
      <c r="I53" s="24" t="str">
        <f>'Input - Bookings'!B53</f>
        <v>USD</v>
      </c>
      <c r="J53" s="13" t="str">
        <f>IF(I53="USD",INDEX('AP Plants'!A:A,MATCH(G53,'AP Plants'!D:D,0)),INDEX('Australia Plants'!A:A,MATCH(G53,'Australia Plants'!D:D,0)))</f>
        <v>Staxx</v>
      </c>
      <c r="K53" s="73">
        <v>1</v>
      </c>
      <c r="L53" s="97">
        <v>1440</v>
      </c>
      <c r="M53" s="97">
        <v>1005</v>
      </c>
      <c r="N53" s="99">
        <v>0.33143206009379156</v>
      </c>
      <c r="O53" s="25">
        <f t="shared" si="13"/>
        <v>0.30208333333333337</v>
      </c>
      <c r="P53" s="14">
        <f>IFERROR(IF(OR(B53&amp;C53="PAU",B53&amp;C53="AIN"),VLOOKUP(B53&amp;C53&amp;G53,#REF!,8,0),VLOOKUP(B53&amp;G53,#REF!,8,0)),0)</f>
        <v>0</v>
      </c>
      <c r="Q53" s="15">
        <f t="shared" si="14"/>
        <v>0.33143206009379156</v>
      </c>
      <c r="R53" s="16" t="str">
        <f t="shared" si="15"/>
        <v>AOP</v>
      </c>
      <c r="S53" s="17">
        <f t="shared" si="16"/>
        <v>333.08922039426051</v>
      </c>
      <c r="T53" s="18">
        <f t="shared" si="17"/>
        <v>333.08922039426051</v>
      </c>
      <c r="U53" s="23">
        <f t="shared" si="4"/>
        <v>1005</v>
      </c>
      <c r="Y53" s="8" t="str">
        <f t="shared" si="18"/>
        <v>AIDH63775MPC15</v>
      </c>
      <c r="Z53" s="8" t="str">
        <f>IF(Y53='Input - Bookings'!Q26,"OK","Check")</f>
        <v>Check</v>
      </c>
      <c r="AA53" s="118"/>
      <c r="AB53" s="103"/>
      <c r="AC53" s="103"/>
      <c r="AD53" s="100">
        <f t="shared" si="23"/>
        <v>652.34056272401904</v>
      </c>
      <c r="AE53" s="100"/>
      <c r="AF53" s="31" t="str">
        <f t="array" ref="AF53">_xlfn.XLOOKUP($G53,'AP Plants'!D:D,'AP Plants'!B:B)</f>
        <v>Class 3</v>
      </c>
      <c r="AG53" s="102"/>
      <c r="AH53" s="102">
        <f t="shared" si="10"/>
        <v>652.34056272401904</v>
      </c>
      <c r="AI53" s="44">
        <v>1.4999999999999999E-2</v>
      </c>
      <c r="AJ53" s="15">
        <f>_xlfn.XLOOKUP($AF53,Warranty!B:B,Warranty!E:E)</f>
        <v>1.4999999999999999E-2</v>
      </c>
      <c r="AK53" s="8">
        <f>IF($I53="AUD",VLOOKUP(RIGHT('Wk - Margins'!$G53,3),'AU Freight'!C:G,5,0),0)</f>
        <v>0</v>
      </c>
      <c r="AL53" s="15">
        <f t="shared" si="19"/>
        <v>0</v>
      </c>
      <c r="AM53" s="61">
        <f t="shared" si="20"/>
        <v>671.91077960573944</v>
      </c>
      <c r="AN53" s="63">
        <f t="shared" si="21"/>
        <v>0.33143206009379156</v>
      </c>
      <c r="AQ53" s="147"/>
    </row>
    <row r="54" spans="1:43">
      <c r="A54" s="10" t="str">
        <f>'Input - Bookings'!A54</f>
        <v>10-03</v>
      </c>
      <c r="B54" s="11" t="str">
        <f>'Input - Bookings'!C54</f>
        <v>A</v>
      </c>
      <c r="C54" s="11" t="str">
        <f>'Input - Bookings'!H54</f>
        <v>TH</v>
      </c>
      <c r="D54" s="24" t="str">
        <f>'Input - Bookings'!E54</f>
        <v>065</v>
      </c>
      <c r="E54" s="24" t="str">
        <f>'Input - Bookings'!G54</f>
        <v>DILOK AND SONS CO.,LTD.</v>
      </c>
      <c r="F54" s="24" t="str">
        <f>'Input - Bookings'!I54</f>
        <v>H63885</v>
      </c>
      <c r="G54" s="24" t="str">
        <f>'Input - Bookings'!L54</f>
        <v>A406</v>
      </c>
      <c r="H54" s="24" t="str">
        <f>'Input - Bookings'!M54</f>
        <v>R1.6 406</v>
      </c>
      <c r="I54" s="24" t="str">
        <f>'Input - Bookings'!B54</f>
        <v>USD</v>
      </c>
      <c r="J54" s="13" t="str">
        <f>IF(I54="USD",INDEX('AP Plants'!A:A,MATCH(G54,'AP Plants'!D:D,0)),INDEX('Australia Plants'!A:A,MATCH(G54,'Australia Plants'!D:D,0)))</f>
        <v>Maximal</v>
      </c>
      <c r="K54" s="73">
        <v>1</v>
      </c>
      <c r="L54" s="97">
        <v>32290</v>
      </c>
      <c r="M54" s="97">
        <v>21360.400000000001</v>
      </c>
      <c r="N54" s="99">
        <v>8.1852006025846191E-2</v>
      </c>
      <c r="O54" s="25">
        <f t="shared" si="13"/>
        <v>0.3384825023227005</v>
      </c>
      <c r="P54" s="14">
        <f>IFERROR(IF(OR(B54&amp;C54="PAU",B54&amp;C54="AIN"),VLOOKUP(B54&amp;C54&amp;G54,#REF!,8,0),VLOOKUP(B54&amp;G54,#REF!,8,0)),0)</f>
        <v>0</v>
      </c>
      <c r="Q54" s="15">
        <f t="shared" si="14"/>
        <v>8.1852006025846191E-2</v>
      </c>
      <c r="R54" s="16" t="str">
        <f t="shared" si="15"/>
        <v>AOP</v>
      </c>
      <c r="S54" s="17">
        <f t="shared" si="16"/>
        <v>1748.3915895144851</v>
      </c>
      <c r="T54" s="18">
        <f t="shared" si="17"/>
        <v>1748.3915895144851</v>
      </c>
      <c r="U54" s="23">
        <f t="shared" si="4"/>
        <v>21360.400000000001</v>
      </c>
      <c r="Y54" s="8" t="str">
        <f t="shared" si="18"/>
        <v>ATHH63885R1.6 406</v>
      </c>
      <c r="Z54" s="8" t="str">
        <f>IF(Y54='Input - Bookings'!Q27,"OK","Check")</f>
        <v>Check</v>
      </c>
      <c r="AA54" s="118"/>
      <c r="AB54" s="103"/>
      <c r="AC54" s="103"/>
      <c r="AD54" s="100">
        <v>19040.784864549049</v>
      </c>
      <c r="AE54" s="100"/>
      <c r="AF54" s="31" t="str">
        <f t="array" ref="AF54">_xlfn.XLOOKUP($G54,'AP Plants'!D:D,'AP Plants'!B:B)</f>
        <v>Class 2</v>
      </c>
      <c r="AG54" s="102"/>
      <c r="AH54" s="102">
        <f t="shared" si="10"/>
        <v>19040.784864549049</v>
      </c>
      <c r="AI54" s="44">
        <v>1.4999999999999999E-2</v>
      </c>
      <c r="AJ54" s="15">
        <f>_xlfn.XLOOKUP($AF54,Warranty!B:B,Warranty!E:E)</f>
        <v>1.4999999999999999E-2</v>
      </c>
      <c r="AK54" s="8">
        <f>IF($I54="AUD",VLOOKUP(RIGHT('Wk - Margins'!$G54,3),'AU Freight'!C:G,5,0),0)</f>
        <v>0</v>
      </c>
      <c r="AL54" s="15">
        <f t="shared" si="19"/>
        <v>0</v>
      </c>
      <c r="AM54" s="61">
        <f t="shared" si="20"/>
        <v>19612.008410485516</v>
      </c>
      <c r="AN54" s="63">
        <f t="shared" si="21"/>
        <v>8.1852006025846191E-2</v>
      </c>
      <c r="AQ54" s="147"/>
    </row>
    <row r="55" spans="1:43">
      <c r="A55" s="10" t="str">
        <f>'Input - Bookings'!A55</f>
        <v>10-03</v>
      </c>
      <c r="B55" s="11" t="str">
        <f>'Input - Bookings'!C55</f>
        <v>A</v>
      </c>
      <c r="C55" s="11" t="str">
        <f>'Input - Bookings'!H55</f>
        <v>TH</v>
      </c>
      <c r="D55" s="24" t="str">
        <f>'Input - Bookings'!E55</f>
        <v>065</v>
      </c>
      <c r="E55" s="24" t="str">
        <f>'Input - Bookings'!G55</f>
        <v>DILOK AND SONS CO.,LTD.</v>
      </c>
      <c r="F55" s="24" t="str">
        <f>'Input - Bookings'!I55</f>
        <v>H63886</v>
      </c>
      <c r="G55" s="24" t="str">
        <f>'Input - Bookings'!L55</f>
        <v>A406</v>
      </c>
      <c r="H55" s="24" t="str">
        <f>'Input - Bookings'!M55</f>
        <v>R1.6 406</v>
      </c>
      <c r="I55" s="24" t="str">
        <f>'Input - Bookings'!B55</f>
        <v>USD</v>
      </c>
      <c r="J55" s="13" t="str">
        <f>IF(I55="USD",INDEX('AP Plants'!A:A,MATCH(G55,'AP Plants'!D:D,0)),INDEX('Australia Plants'!A:A,MATCH(G55,'Australia Plants'!D:D,0)))</f>
        <v>Maximal</v>
      </c>
      <c r="K55" s="73">
        <v>1</v>
      </c>
      <c r="L55" s="97">
        <v>32290</v>
      </c>
      <c r="M55" s="97">
        <v>21360.400000000001</v>
      </c>
      <c r="N55" s="99">
        <v>8.1852006025846191E-2</v>
      </c>
      <c r="O55" s="25">
        <f t="shared" si="13"/>
        <v>0.3384825023227005</v>
      </c>
      <c r="P55" s="14">
        <f>IFERROR(IF(OR(B55&amp;C55="PAU",B55&amp;C55="AIN"),VLOOKUP(B55&amp;C55&amp;G55,#REF!,8,0),VLOOKUP(B55&amp;G55,#REF!,8,0)),0)</f>
        <v>0</v>
      </c>
      <c r="Q55" s="15">
        <f t="shared" ref="Q55:Q115" si="34">N55-P55</f>
        <v>8.1852006025846191E-2</v>
      </c>
      <c r="R55" s="16" t="str">
        <f t="shared" si="15"/>
        <v>AOP</v>
      </c>
      <c r="S55" s="17">
        <f t="shared" si="16"/>
        <v>1748.3915895144851</v>
      </c>
      <c r="T55" s="18">
        <f t="shared" si="17"/>
        <v>1748.3915895144851</v>
      </c>
      <c r="U55" s="23">
        <f t="shared" si="4"/>
        <v>21360.400000000001</v>
      </c>
      <c r="Y55" s="8" t="str">
        <f t="shared" si="18"/>
        <v>ATHH63886R1.6 406</v>
      </c>
      <c r="Z55" s="8" t="str">
        <f>IF(Y55='Input - Bookings'!Q31,"OK","Check")</f>
        <v>Check</v>
      </c>
      <c r="AA55" s="118"/>
      <c r="AB55" s="103"/>
      <c r="AC55" s="103"/>
      <c r="AD55" s="100">
        <v>19040.784864549049</v>
      </c>
      <c r="AE55" s="100"/>
      <c r="AF55" s="31" t="str">
        <f t="array" ref="AF55">_xlfn.XLOOKUP($G55,'AP Plants'!D:D,'AP Plants'!B:B)</f>
        <v>Class 2</v>
      </c>
      <c r="AG55" s="102"/>
      <c r="AH55" s="102">
        <f t="shared" si="10"/>
        <v>19040.784864549049</v>
      </c>
      <c r="AI55" s="44">
        <v>1.4999999999999999E-2</v>
      </c>
      <c r="AJ55" s="15">
        <f>_xlfn.XLOOKUP($AF55,Warranty!B:B,Warranty!E:E)</f>
        <v>1.4999999999999999E-2</v>
      </c>
      <c r="AK55" s="8">
        <f>IF($I55="AUD",VLOOKUP(RIGHT('Wk - Margins'!$G55,3),'AU Freight'!C:G,5,0),0)</f>
        <v>0</v>
      </c>
      <c r="AL55" s="15">
        <f t="shared" si="19"/>
        <v>0</v>
      </c>
      <c r="AM55" s="61">
        <f t="shared" si="20"/>
        <v>19612.008410485516</v>
      </c>
      <c r="AN55" s="63">
        <f t="shared" si="21"/>
        <v>8.1852006025846191E-2</v>
      </c>
      <c r="AQ55" s="147"/>
    </row>
    <row r="56" spans="1:43">
      <c r="A56" s="10" t="str">
        <f>'Input - Bookings'!A56</f>
        <v>10-03</v>
      </c>
      <c r="B56" s="11" t="str">
        <f>'Input - Bookings'!C56</f>
        <v>A</v>
      </c>
      <c r="C56" s="11" t="str">
        <f>'Input - Bookings'!H56</f>
        <v>MY</v>
      </c>
      <c r="D56" s="24" t="str">
        <f>'Input - Bookings'!E56</f>
        <v>065</v>
      </c>
      <c r="E56" s="24" t="str">
        <f>'Input - Bookings'!G56</f>
        <v>SIME DARBY MATERIAL</v>
      </c>
      <c r="F56" s="24" t="str">
        <f>'Input - Bookings'!I56</f>
        <v>H64073</v>
      </c>
      <c r="G56" s="24" t="str">
        <f>'Input - Bookings'!L56</f>
        <v>A3C9</v>
      </c>
      <c r="H56" s="24" t="str">
        <f>'Input - Bookings'!M56</f>
        <v>T3.0UT</v>
      </c>
      <c r="I56" s="24" t="str">
        <f>'Input - Bookings'!B56</f>
        <v>USD</v>
      </c>
      <c r="J56" s="13" t="str">
        <f>IF(I56="USD",INDEX('AP Plants'!A:A,MATCH(G56,'AP Plants'!D:D,0)),INDEX('Australia Plants'!A:A,MATCH(G56,'Australia Plants'!D:D,0)))</f>
        <v>Ruyi</v>
      </c>
      <c r="K56" s="73">
        <v>1</v>
      </c>
      <c r="L56" s="97">
        <v>9070</v>
      </c>
      <c r="M56" s="97">
        <v>5468</v>
      </c>
      <c r="N56" s="99">
        <v>0.2951398704103434</v>
      </c>
      <c r="O56" s="25">
        <f t="shared" si="13"/>
        <v>0.39713340683572218</v>
      </c>
      <c r="P56" s="14">
        <f>IFERROR(IF(OR(B56&amp;C56="PAU",B56&amp;C56="AIN"),VLOOKUP(B56&amp;C56&amp;G56,#REF!,8,0),VLOOKUP(B56&amp;G56,#REF!,8,0)),0)</f>
        <v>0</v>
      </c>
      <c r="Q56" s="15">
        <f t="shared" si="34"/>
        <v>0.2951398704103434</v>
      </c>
      <c r="R56" s="16" t="str">
        <f t="shared" si="15"/>
        <v>AOP</v>
      </c>
      <c r="S56" s="17">
        <f t="shared" si="16"/>
        <v>1613.8248114037576</v>
      </c>
      <c r="T56" s="18">
        <f t="shared" si="17"/>
        <v>1613.8248114037576</v>
      </c>
      <c r="U56" s="23">
        <f t="shared" si="4"/>
        <v>5468</v>
      </c>
      <c r="Y56" s="8" t="str">
        <f t="shared" si="18"/>
        <v>AMYH64073T3.0UT</v>
      </c>
      <c r="Z56" s="8" t="str">
        <f>IF(Y56='Input - Bookings'!Q32,"OK","Check")</f>
        <v>Check</v>
      </c>
      <c r="AA56" s="118"/>
      <c r="AB56" s="103"/>
      <c r="AC56" s="103"/>
      <c r="AD56" s="100">
        <v>3741.9176588313044</v>
      </c>
      <c r="AE56" s="100"/>
      <c r="AF56" s="31" t="str">
        <f t="array" ref="AF56">_xlfn.XLOOKUP($G56,'AP Plants'!D:D,'AP Plants'!B:B)</f>
        <v>Class 3</v>
      </c>
      <c r="AG56" s="102"/>
      <c r="AH56" s="102">
        <f t="shared" si="10"/>
        <v>3741.9176588313044</v>
      </c>
      <c r="AI56" s="44">
        <v>1.4999999999999999E-2</v>
      </c>
      <c r="AJ56" s="15">
        <f>_xlfn.XLOOKUP($AF56,Warranty!B:B,Warranty!E:E)</f>
        <v>1.4999999999999999E-2</v>
      </c>
      <c r="AK56" s="8">
        <f>IF($I56="AUD",VLOOKUP(RIGHT('Wk - Margins'!$G56,3),'AU Freight'!C:G,5,0),0)</f>
        <v>0</v>
      </c>
      <c r="AL56" s="15">
        <f t="shared" si="19"/>
        <v>0</v>
      </c>
      <c r="AM56" s="61">
        <f t="shared" si="20"/>
        <v>3854.1751885962426</v>
      </c>
      <c r="AN56" s="63">
        <f t="shared" si="21"/>
        <v>0.2951398704103434</v>
      </c>
      <c r="AQ56" s="147"/>
    </row>
    <row r="57" spans="1:43">
      <c r="A57" s="10" t="str">
        <f>'Input - Bookings'!A57</f>
        <v>10-03</v>
      </c>
      <c r="B57" s="11" t="str">
        <f>'Input - Bookings'!C57</f>
        <v>A</v>
      </c>
      <c r="C57" s="11" t="str">
        <f>'Input - Bookings'!H57</f>
        <v>MY</v>
      </c>
      <c r="D57" s="24" t="str">
        <f>'Input - Bookings'!E57</f>
        <v>065</v>
      </c>
      <c r="E57" s="24" t="str">
        <f>'Input - Bookings'!G57</f>
        <v>SIME DARBY MATERIAL</v>
      </c>
      <c r="F57" s="24" t="str">
        <f>'Input - Bookings'!I57</f>
        <v>H64074</v>
      </c>
      <c r="G57" s="24" t="str">
        <f>'Input - Bookings'!L57</f>
        <v>A3C9</v>
      </c>
      <c r="H57" s="24" t="str">
        <f>'Input - Bookings'!M57</f>
        <v>T3.0UT</v>
      </c>
      <c r="I57" s="24" t="str">
        <f>'Input - Bookings'!B57</f>
        <v>USD</v>
      </c>
      <c r="J57" s="13" t="str">
        <f>IF(I57="USD",INDEX('AP Plants'!A:A,MATCH(G57,'AP Plants'!D:D,0)),INDEX('Australia Plants'!A:A,MATCH(G57,'Australia Plants'!D:D,0)))</f>
        <v>Ruyi</v>
      </c>
      <c r="K57" s="73">
        <v>1</v>
      </c>
      <c r="L57" s="97">
        <v>9070</v>
      </c>
      <c r="M57" s="97">
        <v>5468</v>
      </c>
      <c r="N57" s="99">
        <v>0.2951398704103434</v>
      </c>
      <c r="O57" s="25">
        <f t="shared" si="13"/>
        <v>0.39713340683572218</v>
      </c>
      <c r="P57" s="14">
        <f>IFERROR(IF(OR(B57&amp;C57="PAU",B57&amp;C57="AIN"),VLOOKUP(B57&amp;C57&amp;G57,#REF!,8,0),VLOOKUP(B57&amp;G57,#REF!,8,0)),0)</f>
        <v>0</v>
      </c>
      <c r="Q57" s="15">
        <f t="shared" si="34"/>
        <v>0.2951398704103434</v>
      </c>
      <c r="R57" s="16" t="str">
        <f t="shared" si="15"/>
        <v>AOP</v>
      </c>
      <c r="S57" s="17">
        <f t="shared" si="16"/>
        <v>1613.8248114037576</v>
      </c>
      <c r="T57" s="18">
        <f t="shared" si="17"/>
        <v>1613.8248114037576</v>
      </c>
      <c r="U57" s="23">
        <f t="shared" si="4"/>
        <v>5468</v>
      </c>
      <c r="Y57" s="8" t="str">
        <f t="shared" si="18"/>
        <v>AMYH64074T3.0UT</v>
      </c>
      <c r="Z57" s="8" t="str">
        <f>IF(Y57='Input - Bookings'!Q33,"OK","Check")</f>
        <v>Check</v>
      </c>
      <c r="AA57" s="118"/>
      <c r="AB57" s="103"/>
      <c r="AC57" s="103"/>
      <c r="AD57" s="100">
        <v>3741.9176588313044</v>
      </c>
      <c r="AE57" s="100"/>
      <c r="AF57" s="31" t="str">
        <f t="array" ref="AF57">_xlfn.XLOOKUP($G57,'AP Plants'!D:D,'AP Plants'!B:B)</f>
        <v>Class 3</v>
      </c>
      <c r="AG57" s="102"/>
      <c r="AH57" s="102">
        <f t="shared" si="10"/>
        <v>3741.9176588313044</v>
      </c>
      <c r="AI57" s="44">
        <v>1.4999999999999999E-2</v>
      </c>
      <c r="AJ57" s="15">
        <f>_xlfn.XLOOKUP($AF57,Warranty!B:B,Warranty!E:E)</f>
        <v>1.4999999999999999E-2</v>
      </c>
      <c r="AK57" s="8">
        <f>IF($I57="AUD",VLOOKUP(RIGHT('Wk - Margins'!$G57,3),'AU Freight'!C:G,5,0),0)</f>
        <v>0</v>
      </c>
      <c r="AL57" s="15">
        <f t="shared" si="19"/>
        <v>0</v>
      </c>
      <c r="AM57" s="61">
        <f t="shared" si="20"/>
        <v>3854.1751885962426</v>
      </c>
      <c r="AN57" s="63">
        <f t="shared" si="21"/>
        <v>0.2951398704103434</v>
      </c>
      <c r="AQ57" s="147"/>
    </row>
    <row r="58" spans="1:43">
      <c r="A58" s="10" t="str">
        <f>'Input - Bookings'!A58</f>
        <v>10-03</v>
      </c>
      <c r="B58" s="11" t="str">
        <f>'Input - Bookings'!C58</f>
        <v>A</v>
      </c>
      <c r="C58" s="11" t="str">
        <f>'Input - Bookings'!H58</f>
        <v>MY</v>
      </c>
      <c r="D58" s="24" t="str">
        <f>'Input - Bookings'!E58</f>
        <v>065</v>
      </c>
      <c r="E58" s="24" t="str">
        <f>'Input - Bookings'!G58</f>
        <v>SIME DARBY MATERIAL</v>
      </c>
      <c r="F58" s="24" t="str">
        <f>'Input - Bookings'!I58</f>
        <v>H64075</v>
      </c>
      <c r="G58" s="24" t="str">
        <f>'Input - Bookings'!L58</f>
        <v>A3C9</v>
      </c>
      <c r="H58" s="24" t="str">
        <f>'Input - Bookings'!M58</f>
        <v>T3.0UT</v>
      </c>
      <c r="I58" s="24" t="str">
        <f>'Input - Bookings'!B58</f>
        <v>USD</v>
      </c>
      <c r="J58" s="13" t="str">
        <f>IF(I58="USD",INDEX('AP Plants'!A:A,MATCH(G58,'AP Plants'!D:D,0)),INDEX('Australia Plants'!A:A,MATCH(G58,'Australia Plants'!D:D,0)))</f>
        <v>Ruyi</v>
      </c>
      <c r="K58" s="73">
        <v>1</v>
      </c>
      <c r="L58" s="97">
        <v>9070</v>
      </c>
      <c r="M58" s="97">
        <v>5468</v>
      </c>
      <c r="N58" s="99">
        <v>0.2951398704103434</v>
      </c>
      <c r="O58" s="25">
        <f t="shared" si="13"/>
        <v>0.39713340683572218</v>
      </c>
      <c r="P58" s="14">
        <f>IFERROR(IF(OR(B58&amp;C58="PAU",B58&amp;C58="AIN"),VLOOKUP(B58&amp;C58&amp;G58,#REF!,8,0),VLOOKUP(B58&amp;G58,#REF!,8,0)),0)</f>
        <v>0</v>
      </c>
      <c r="Q58" s="15">
        <f t="shared" si="34"/>
        <v>0.2951398704103434</v>
      </c>
      <c r="R58" s="16" t="str">
        <f t="shared" si="15"/>
        <v>AOP</v>
      </c>
      <c r="S58" s="17">
        <f t="shared" si="16"/>
        <v>1613.8248114037576</v>
      </c>
      <c r="T58" s="18">
        <f t="shared" si="17"/>
        <v>1613.8248114037576</v>
      </c>
      <c r="U58" s="23">
        <f t="shared" si="4"/>
        <v>5468</v>
      </c>
      <c r="Y58" s="8" t="str">
        <f t="shared" si="18"/>
        <v>AMYH64075T3.0UT</v>
      </c>
      <c r="Z58" s="8" t="str">
        <f>IF(Y58='Input - Bookings'!Q37,"OK","Check")</f>
        <v>Check</v>
      </c>
      <c r="AA58" s="140"/>
      <c r="AB58" s="103"/>
      <c r="AC58" s="103"/>
      <c r="AD58" s="100">
        <v>3741.9176588313044</v>
      </c>
      <c r="AE58" s="100"/>
      <c r="AF58" s="31" t="str">
        <f t="array" ref="AF58">_xlfn.XLOOKUP($G58,'AP Plants'!D:D,'AP Plants'!B:B)</f>
        <v>Class 3</v>
      </c>
      <c r="AG58" s="102"/>
      <c r="AH58" s="102">
        <f t="shared" si="10"/>
        <v>3741.9176588313044</v>
      </c>
      <c r="AI58" s="44">
        <v>1.4999999999999999E-2</v>
      </c>
      <c r="AJ58" s="15">
        <f>_xlfn.XLOOKUP($AF58,Warranty!B:B,Warranty!E:E)</f>
        <v>1.4999999999999999E-2</v>
      </c>
      <c r="AK58" s="8">
        <f>IF($I58="AUD",VLOOKUP(RIGHT('Wk - Margins'!$G58,3),'AU Freight'!C:G,5,0),0)</f>
        <v>0</v>
      </c>
      <c r="AL58" s="15">
        <f t="shared" si="19"/>
        <v>0</v>
      </c>
      <c r="AM58" s="61">
        <f t="shared" si="20"/>
        <v>3854.1751885962426</v>
      </c>
      <c r="AN58" s="63">
        <f t="shared" si="21"/>
        <v>0.2951398704103434</v>
      </c>
      <c r="AQ58" s="147"/>
    </row>
    <row r="59" spans="1:43">
      <c r="A59" s="10" t="str">
        <f>'Input - Bookings'!A59</f>
        <v>10-03</v>
      </c>
      <c r="B59" s="11" t="str">
        <f>'Input - Bookings'!C59</f>
        <v>A</v>
      </c>
      <c r="C59" s="11" t="str">
        <f>'Input - Bookings'!H59</f>
        <v>MY</v>
      </c>
      <c r="D59" s="24" t="str">
        <f>'Input - Bookings'!E59</f>
        <v>065</v>
      </c>
      <c r="E59" s="24" t="str">
        <f>'Input - Bookings'!G59</f>
        <v>SIME DARBY MATERIAL</v>
      </c>
      <c r="F59" s="24" t="str">
        <f>'Input - Bookings'!I59</f>
        <v>H64076</v>
      </c>
      <c r="G59" s="24" t="str">
        <f>'Input - Bookings'!L59</f>
        <v>A3C9</v>
      </c>
      <c r="H59" s="24" t="str">
        <f>'Input - Bookings'!M59</f>
        <v>T3.0UT</v>
      </c>
      <c r="I59" s="24" t="str">
        <f>'Input - Bookings'!B59</f>
        <v>USD</v>
      </c>
      <c r="J59" s="13" t="str">
        <f>IF(I59="USD",INDEX('AP Plants'!A:A,MATCH(G59,'AP Plants'!D:D,0)),INDEX('Australia Plants'!A:A,MATCH(G59,'Australia Plants'!D:D,0)))</f>
        <v>Ruyi</v>
      </c>
      <c r="K59" s="73">
        <v>1</v>
      </c>
      <c r="L59" s="97">
        <v>9070</v>
      </c>
      <c r="M59" s="97">
        <v>5468</v>
      </c>
      <c r="N59" s="99">
        <v>0.2951398704103434</v>
      </c>
      <c r="O59" s="25">
        <f t="shared" si="13"/>
        <v>0.39713340683572218</v>
      </c>
      <c r="P59" s="14">
        <f>IFERROR(IF(OR(B59&amp;C59="PAU",B59&amp;C59="AIN"),VLOOKUP(B59&amp;C59&amp;G59,#REF!,8,0),VLOOKUP(B59&amp;G59,#REF!,8,0)),0)</f>
        <v>0</v>
      </c>
      <c r="Q59" s="15">
        <f t="shared" si="34"/>
        <v>0.2951398704103434</v>
      </c>
      <c r="R59" s="16" t="str">
        <f t="shared" si="15"/>
        <v>AOP</v>
      </c>
      <c r="S59" s="17">
        <f t="shared" si="16"/>
        <v>1613.8248114037576</v>
      </c>
      <c r="T59" s="18">
        <f t="shared" si="17"/>
        <v>1613.8248114037576</v>
      </c>
      <c r="U59" s="23">
        <f t="shared" si="4"/>
        <v>5468</v>
      </c>
      <c r="Y59" s="8" t="str">
        <f t="shared" si="18"/>
        <v>AMYH64076T3.0UT</v>
      </c>
      <c r="Z59" s="8" t="str">
        <f>IF(Y59='Input - Bookings'!Q44,"OK","Check")</f>
        <v>Check</v>
      </c>
      <c r="AA59" s="118"/>
      <c r="AB59" s="103"/>
      <c r="AC59" s="103"/>
      <c r="AD59" s="100">
        <v>3741.9176588313044</v>
      </c>
      <c r="AE59" s="100"/>
      <c r="AF59" s="31" t="str">
        <f t="array" ref="AF59">_xlfn.XLOOKUP($G59,'AP Plants'!D:D,'AP Plants'!B:B)</f>
        <v>Class 3</v>
      </c>
      <c r="AG59" s="102"/>
      <c r="AH59" s="102">
        <f t="shared" si="10"/>
        <v>3741.9176588313044</v>
      </c>
      <c r="AI59" s="44">
        <v>1.4999999999999999E-2</v>
      </c>
      <c r="AJ59" s="15">
        <f>_xlfn.XLOOKUP($AF59,Warranty!B:B,Warranty!E:E)</f>
        <v>1.4999999999999999E-2</v>
      </c>
      <c r="AK59" s="8">
        <f>IF($I59="AUD",VLOOKUP(RIGHT('Wk - Margins'!$G59,3),'AU Freight'!C:G,5,0),0)</f>
        <v>0</v>
      </c>
      <c r="AL59" s="15">
        <f t="shared" si="19"/>
        <v>0</v>
      </c>
      <c r="AM59" s="61">
        <f t="shared" si="20"/>
        <v>3854.1751885962426</v>
      </c>
      <c r="AN59" s="63">
        <f t="shared" si="21"/>
        <v>0.2951398704103434</v>
      </c>
      <c r="AQ59" s="147"/>
    </row>
    <row r="60" spans="1:43">
      <c r="A60" s="10" t="str">
        <f>'Input - Bookings'!A60</f>
        <v>10-03</v>
      </c>
      <c r="B60" s="11" t="str">
        <f>'Input - Bookings'!C60</f>
        <v>A</v>
      </c>
      <c r="C60" s="11" t="str">
        <f>'Input - Bookings'!H60</f>
        <v>MY</v>
      </c>
      <c r="D60" s="24" t="str">
        <f>'Input - Bookings'!E60</f>
        <v>065</v>
      </c>
      <c r="E60" s="24" t="str">
        <f>'Input - Bookings'!G60</f>
        <v>SIME DARBY MATERIAL</v>
      </c>
      <c r="F60" s="24" t="str">
        <f>'Input - Bookings'!I60</f>
        <v>H64077</v>
      </c>
      <c r="G60" s="24" t="str">
        <f>'Input - Bookings'!L60</f>
        <v>A3C9</v>
      </c>
      <c r="H60" s="24" t="str">
        <f>'Input - Bookings'!M60</f>
        <v>T3.0UT</v>
      </c>
      <c r="I60" s="24" t="str">
        <f>'Input - Bookings'!B60</f>
        <v>USD</v>
      </c>
      <c r="J60" s="13" t="str">
        <f>IF(I60="USD",INDEX('AP Plants'!A:A,MATCH(G60,'AP Plants'!D:D,0)),INDEX('Australia Plants'!A:A,MATCH(G60,'Australia Plants'!D:D,0)))</f>
        <v>Ruyi</v>
      </c>
      <c r="K60" s="73">
        <v>1</v>
      </c>
      <c r="L60" s="97">
        <v>9070</v>
      </c>
      <c r="M60" s="97">
        <v>5468</v>
      </c>
      <c r="N60" s="99">
        <v>0.2951398704103434</v>
      </c>
      <c r="O60" s="25">
        <f t="shared" si="13"/>
        <v>0.39713340683572218</v>
      </c>
      <c r="P60" s="14">
        <f>IFERROR(IF(OR(B60&amp;C60="PAU",B60&amp;C60="AIN"),VLOOKUP(B60&amp;C60&amp;G60,#REF!,8,0),VLOOKUP(B60&amp;G60,#REF!,8,0)),0)</f>
        <v>0</v>
      </c>
      <c r="Q60" s="15">
        <f t="shared" si="34"/>
        <v>0.2951398704103434</v>
      </c>
      <c r="R60" s="16" t="str">
        <f t="shared" si="15"/>
        <v>AOP</v>
      </c>
      <c r="S60" s="17">
        <f t="shared" si="16"/>
        <v>1613.8248114037576</v>
      </c>
      <c r="T60" s="18">
        <f t="shared" si="17"/>
        <v>1613.8248114037576</v>
      </c>
      <c r="U60" s="23">
        <f t="shared" si="4"/>
        <v>5468</v>
      </c>
      <c r="Y60" s="8" t="str">
        <f t="shared" si="18"/>
        <v>AMYH64077T3.0UT</v>
      </c>
      <c r="Z60" s="8" t="str">
        <f>IF(Y60='Input - Bookings'!Q46,"OK","Check")</f>
        <v>Check</v>
      </c>
      <c r="AA60" s="139"/>
      <c r="AB60" s="103"/>
      <c r="AC60" s="103"/>
      <c r="AD60" s="100">
        <v>3741.9176588313044</v>
      </c>
      <c r="AE60" s="100"/>
      <c r="AF60" s="31" t="str">
        <f t="array" ref="AF60">_xlfn.XLOOKUP($G60,'AP Plants'!D:D,'AP Plants'!B:B)</f>
        <v>Class 3</v>
      </c>
      <c r="AG60" s="102"/>
      <c r="AH60" s="102">
        <f t="shared" si="10"/>
        <v>3741.9176588313044</v>
      </c>
      <c r="AI60" s="44">
        <v>1.4999999999999999E-2</v>
      </c>
      <c r="AJ60" s="15">
        <f>_xlfn.XLOOKUP($AF60,Warranty!B:B,Warranty!E:E)</f>
        <v>1.4999999999999999E-2</v>
      </c>
      <c r="AK60" s="8">
        <f>IF($I60="AUD",VLOOKUP(RIGHT('Wk - Margins'!$G60,3),'AU Freight'!C:G,5,0),0)</f>
        <v>0</v>
      </c>
      <c r="AL60" s="15">
        <f t="shared" si="19"/>
        <v>0</v>
      </c>
      <c r="AM60" s="61">
        <f t="shared" si="20"/>
        <v>3854.1751885962426</v>
      </c>
      <c r="AN60" s="63">
        <f t="shared" si="21"/>
        <v>0.2951398704103434</v>
      </c>
      <c r="AQ60" s="147"/>
    </row>
    <row r="61" spans="1:43">
      <c r="A61" s="10" t="str">
        <f>'Input - Bookings'!A61</f>
        <v>10-03</v>
      </c>
      <c r="B61" s="11" t="str">
        <f>'Input - Bookings'!C61</f>
        <v>A</v>
      </c>
      <c r="C61" s="11" t="str">
        <f>'Input - Bookings'!H61</f>
        <v>MY</v>
      </c>
      <c r="D61" s="24" t="str">
        <f>'Input - Bookings'!E61</f>
        <v>065</v>
      </c>
      <c r="E61" s="24" t="str">
        <f>'Input - Bookings'!G61</f>
        <v>SIME DARBY MATERIAL</v>
      </c>
      <c r="F61" s="24" t="str">
        <f>'Input - Bookings'!I61</f>
        <v>H64078</v>
      </c>
      <c r="G61" s="24" t="str">
        <f>'Input - Bookings'!L61</f>
        <v>A3C9</v>
      </c>
      <c r="H61" s="24" t="str">
        <f>'Input - Bookings'!M61</f>
        <v>T3.0UT</v>
      </c>
      <c r="I61" s="24" t="str">
        <f>'Input - Bookings'!B61</f>
        <v>USD</v>
      </c>
      <c r="J61" s="13" t="str">
        <f>IF(I61="USD",INDEX('AP Plants'!A:A,MATCH(G61,'AP Plants'!D:D,0)),INDEX('Australia Plants'!A:A,MATCH(G61,'Australia Plants'!D:D,0)))</f>
        <v>Ruyi</v>
      </c>
      <c r="K61" s="73">
        <v>1</v>
      </c>
      <c r="L61" s="97">
        <v>9070</v>
      </c>
      <c r="M61" s="97">
        <v>5468</v>
      </c>
      <c r="N61" s="99">
        <v>0.2951398704103434</v>
      </c>
      <c r="O61" s="25">
        <f t="shared" si="13"/>
        <v>0.39713340683572218</v>
      </c>
      <c r="P61" s="14">
        <f>IFERROR(IF(OR(B61&amp;C61="PAU",B61&amp;C61="AIN"),VLOOKUP(B61&amp;C61&amp;G61,#REF!,8,0),VLOOKUP(B61&amp;G61,#REF!,8,0)),0)</f>
        <v>0</v>
      </c>
      <c r="Q61" s="15">
        <f t="shared" si="34"/>
        <v>0.2951398704103434</v>
      </c>
      <c r="R61" s="16" t="str">
        <f t="shared" si="15"/>
        <v>AOP</v>
      </c>
      <c r="S61" s="17">
        <f t="shared" si="16"/>
        <v>1613.8248114037576</v>
      </c>
      <c r="T61" s="18">
        <f t="shared" si="17"/>
        <v>1613.8248114037576</v>
      </c>
      <c r="U61" s="23">
        <f t="shared" si="4"/>
        <v>5468</v>
      </c>
      <c r="Y61" s="8" t="str">
        <f t="shared" si="18"/>
        <v>AMYH64078T3.0UT</v>
      </c>
      <c r="Z61" s="8" t="str">
        <f>IF(Y61='Input - Bookings'!Q49,"OK","Check")</f>
        <v>Check</v>
      </c>
      <c r="AA61" s="139"/>
      <c r="AB61" s="103"/>
      <c r="AC61" s="103"/>
      <c r="AD61" s="100">
        <v>3741.9176588313044</v>
      </c>
      <c r="AE61" s="100"/>
      <c r="AF61" s="31" t="str">
        <f t="array" ref="AF61">_xlfn.XLOOKUP($G61,'AP Plants'!D:D,'AP Plants'!B:B)</f>
        <v>Class 3</v>
      </c>
      <c r="AG61" s="102"/>
      <c r="AH61" s="102">
        <f t="shared" si="10"/>
        <v>3741.9176588313044</v>
      </c>
      <c r="AI61" s="44">
        <v>1.4999999999999999E-2</v>
      </c>
      <c r="AJ61" s="15">
        <f>_xlfn.XLOOKUP($AF61,Warranty!B:B,Warranty!E:E)</f>
        <v>1.4999999999999999E-2</v>
      </c>
      <c r="AK61" s="8">
        <f>IF($I61="AUD",VLOOKUP(RIGHT('Wk - Margins'!$G61,3),'AU Freight'!C:G,5,0),0)</f>
        <v>0</v>
      </c>
      <c r="AL61" s="15">
        <f t="shared" si="19"/>
        <v>0</v>
      </c>
      <c r="AM61" s="61">
        <f t="shared" si="20"/>
        <v>3854.1751885962426</v>
      </c>
      <c r="AN61" s="63">
        <f t="shared" si="21"/>
        <v>0.2951398704103434</v>
      </c>
      <c r="AQ61" s="147"/>
    </row>
    <row r="62" spans="1:43">
      <c r="A62" s="10" t="str">
        <f>'Input - Bookings'!A62</f>
        <v>10-04</v>
      </c>
      <c r="B62" s="11" t="str">
        <f>'Input - Bookings'!C62</f>
        <v>A</v>
      </c>
      <c r="C62" s="11" t="str">
        <f>'Input - Bookings'!H62</f>
        <v>TH</v>
      </c>
      <c r="D62" s="24" t="str">
        <f>'Input - Bookings'!E62</f>
        <v>067</v>
      </c>
      <c r="E62" s="24" t="str">
        <f>'Input - Bookings'!G62</f>
        <v>JENBUNJERD CO LTD</v>
      </c>
      <c r="F62" s="24" t="str">
        <f>'Input - Bookings'!I62</f>
        <v>H64087</v>
      </c>
      <c r="G62" s="24" t="str">
        <f>'Input - Bookings'!L62</f>
        <v>E861</v>
      </c>
      <c r="H62" s="24" t="str">
        <f>'Input - Bookings'!M62</f>
        <v>NDR035EC</v>
      </c>
      <c r="I62" s="24" t="str">
        <f>'Input - Bookings'!B62</f>
        <v>USD</v>
      </c>
      <c r="J62" s="13" t="str">
        <f>IF(I62="USD",INDEX('AP Plants'!A:A,MATCH(G62,'AP Plants'!D:D,0)),INDEX('Australia Plants'!A:A,MATCH(G62,'Australia Plants'!D:D,0)))</f>
        <v>Greenville</v>
      </c>
      <c r="K62" s="73">
        <v>1</v>
      </c>
      <c r="L62" s="97">
        <v>63613</v>
      </c>
      <c r="M62" s="97">
        <v>44417.02</v>
      </c>
      <c r="N62" s="99">
        <v>9.0956929666749731E-2</v>
      </c>
      <c r="O62" s="25">
        <f t="shared" si="13"/>
        <v>0.3017619040133307</v>
      </c>
      <c r="P62" s="14">
        <f>IFERROR(IF(OR(B62&amp;C62="PAU",B62&amp;C62="AIN"),VLOOKUP(B62&amp;C62&amp;G62,#REF!,8,0),VLOOKUP(B62&amp;G62,#REF!,8,0)),0)</f>
        <v>0</v>
      </c>
      <c r="Q62" s="15">
        <f t="shared" si="34"/>
        <v>9.0956929666749731E-2</v>
      </c>
      <c r="R62" s="16" t="str">
        <f t="shared" si="15"/>
        <v>AOP</v>
      </c>
      <c r="S62" s="17">
        <f t="shared" si="16"/>
        <v>4040.0357641466157</v>
      </c>
      <c r="T62" s="18">
        <f t="shared" si="17"/>
        <v>4040.0357641466157</v>
      </c>
      <c r="U62" s="23">
        <f t="shared" si="4"/>
        <v>44417.02</v>
      </c>
      <c r="Y62" s="8" t="str">
        <f t="shared" si="18"/>
        <v>ATHH64087NDR035EC</v>
      </c>
      <c r="Z62" s="8" t="str">
        <f>IF(Y62='Input - Bookings'!Q54,"OK","Check")</f>
        <v>Check</v>
      </c>
      <c r="AA62" s="139"/>
      <c r="AB62" s="103">
        <v>0</v>
      </c>
      <c r="AC62" s="103">
        <v>0</v>
      </c>
      <c r="AD62" s="100">
        <v>39165.706432999999</v>
      </c>
      <c r="AE62" s="100"/>
      <c r="AF62" s="31" t="str">
        <f t="array" ref="AF62">_xlfn.XLOOKUP($G62,'AP Plants'!D:D,'AP Plants'!B:B)</f>
        <v>Class 2</v>
      </c>
      <c r="AG62" s="102"/>
      <c r="AH62" s="102">
        <f>(AD62*(1+VLOOKUP(J62,'Currency &amp; Conversion'!$F$12:$I$18,2,0)))+((AB62+AC62)*90%)</f>
        <v>39200.955568789694</v>
      </c>
      <c r="AI62" s="44">
        <v>1.4999999999999999E-2</v>
      </c>
      <c r="AJ62" s="15">
        <f>_xlfn.XLOOKUP($AF62,Warranty!B:B,Warranty!E:E)</f>
        <v>1.4999999999999999E-2</v>
      </c>
      <c r="AK62" s="8">
        <f>IF($I62="AUD",VLOOKUP(RIGHT('Wk - Margins'!$G62,3),'AU Freight'!C:G,5,0),0)</f>
        <v>0</v>
      </c>
      <c r="AL62" s="15">
        <f t="shared" si="19"/>
        <v>0</v>
      </c>
      <c r="AM62" s="61">
        <f t="shared" si="20"/>
        <v>40376.984235853379</v>
      </c>
      <c r="AN62" s="63">
        <f t="shared" si="21"/>
        <v>9.0956929666749731E-2</v>
      </c>
      <c r="AQ62" s="147"/>
    </row>
    <row r="63" spans="1:43">
      <c r="A63" s="10" t="str">
        <f>'Input - Bookings'!A63</f>
        <v>10-04</v>
      </c>
      <c r="B63" s="11" t="str">
        <f>'Input - Bookings'!C63</f>
        <v>A</v>
      </c>
      <c r="C63" s="11" t="str">
        <f>'Input - Bookings'!H63</f>
        <v>TH</v>
      </c>
      <c r="D63" s="24" t="str">
        <f>'Input - Bookings'!E63</f>
        <v>067</v>
      </c>
      <c r="E63" s="24" t="str">
        <f>'Input - Bookings'!G63</f>
        <v>JENBUNJERD CO LTD</v>
      </c>
      <c r="F63" s="24" t="str">
        <f>'Input - Bookings'!I63</f>
        <v>H64088</v>
      </c>
      <c r="G63" s="24" t="str">
        <f>'Input - Bookings'!L63</f>
        <v>E861</v>
      </c>
      <c r="H63" s="24" t="str">
        <f>'Input - Bookings'!M63</f>
        <v>NDR035EC</v>
      </c>
      <c r="I63" s="24" t="str">
        <f>'Input - Bookings'!B63</f>
        <v>USD</v>
      </c>
      <c r="J63" s="13" t="str">
        <f>IF(I63="USD",INDEX('AP Plants'!A:A,MATCH(G63,'AP Plants'!D:D,0)),INDEX('Australia Plants'!A:A,MATCH(G63,'Australia Plants'!D:D,0)))</f>
        <v>Greenville</v>
      </c>
      <c r="K63" s="73">
        <v>1</v>
      </c>
      <c r="L63" s="97">
        <v>63613</v>
      </c>
      <c r="M63" s="97">
        <v>44417.02</v>
      </c>
      <c r="N63" s="99">
        <v>9.0956929666749731E-2</v>
      </c>
      <c r="O63" s="25">
        <f t="shared" si="13"/>
        <v>0.3017619040133307</v>
      </c>
      <c r="P63" s="14">
        <f>IFERROR(IF(OR(B63&amp;C63="PAU",B63&amp;C63="AIN"),VLOOKUP(B63&amp;C63&amp;G63,#REF!,8,0),VLOOKUP(B63&amp;G63,#REF!,8,0)),0)</f>
        <v>0</v>
      </c>
      <c r="Q63" s="15">
        <f t="shared" si="34"/>
        <v>9.0956929666749731E-2</v>
      </c>
      <c r="R63" s="16" t="str">
        <f t="shared" si="15"/>
        <v>AOP</v>
      </c>
      <c r="S63" s="17">
        <f t="shared" si="16"/>
        <v>4040.0357641466157</v>
      </c>
      <c r="T63" s="18">
        <f t="shared" si="17"/>
        <v>4040.0357641466157</v>
      </c>
      <c r="U63" s="23">
        <f t="shared" si="4"/>
        <v>44417.02</v>
      </c>
      <c r="Y63" s="8" t="str">
        <f t="shared" si="18"/>
        <v>ATHH64088NDR035EC</v>
      </c>
      <c r="Z63" s="8" t="str">
        <f>IF(Y63='Input - Bookings'!Q51,"OK","Check")</f>
        <v>Check</v>
      </c>
      <c r="AA63" s="139"/>
      <c r="AB63" s="103">
        <v>0</v>
      </c>
      <c r="AC63" s="103">
        <v>0</v>
      </c>
      <c r="AD63" s="100">
        <v>39165.706432999999</v>
      </c>
      <c r="AE63" s="100"/>
      <c r="AF63" s="8" t="str">
        <f t="array" ref="AF63">_xlfn.XLOOKUP($G63,'AP Plants'!D:D,'AP Plants'!B:B)</f>
        <v>Class 2</v>
      </c>
      <c r="AG63" s="102"/>
      <c r="AH63" s="102">
        <f>(AD63*(1+VLOOKUP(J63,'Currency &amp; Conversion'!$F$12:$I$18,2,0)))+((AB63+AC63)*90%)</f>
        <v>39200.955568789694</v>
      </c>
      <c r="AI63" s="44">
        <v>1.4999999999999999E-2</v>
      </c>
      <c r="AJ63" s="15">
        <f>_xlfn.XLOOKUP($AF63,Warranty!B:B,Warranty!E:E)</f>
        <v>1.4999999999999999E-2</v>
      </c>
      <c r="AK63" s="8">
        <f>IF($I63="AUD",VLOOKUP(RIGHT('Wk - Margins'!$G63,3),'AU Freight'!C:G,5,0),0)</f>
        <v>0</v>
      </c>
      <c r="AL63" s="15">
        <f t="shared" si="19"/>
        <v>0</v>
      </c>
      <c r="AM63" s="61">
        <f t="shared" si="20"/>
        <v>40376.984235853379</v>
      </c>
      <c r="AN63" s="63">
        <f t="shared" si="21"/>
        <v>9.0956929666749731E-2</v>
      </c>
      <c r="AQ63" s="147"/>
    </row>
    <row r="64" spans="1:43">
      <c r="A64" s="10" t="str">
        <f>'Input - Bookings'!A64</f>
        <v>10-04</v>
      </c>
      <c r="B64" s="11" t="str">
        <f>'Input - Bookings'!C64</f>
        <v>A</v>
      </c>
      <c r="C64" s="11" t="str">
        <f>'Input - Bookings'!H64</f>
        <v>TH</v>
      </c>
      <c r="D64" s="24" t="str">
        <f>'Input - Bookings'!E64</f>
        <v>067</v>
      </c>
      <c r="E64" s="24" t="str">
        <f>'Input - Bookings'!G64</f>
        <v>JENBUNJERD CO LTD</v>
      </c>
      <c r="F64" s="24" t="str">
        <f>'Input - Bookings'!I64</f>
        <v>H64089</v>
      </c>
      <c r="G64" s="24" t="str">
        <f>'Input - Bookings'!L64</f>
        <v>E861</v>
      </c>
      <c r="H64" s="24" t="str">
        <f>'Input - Bookings'!M64</f>
        <v>NDR035EC</v>
      </c>
      <c r="I64" s="24" t="str">
        <f>'Input - Bookings'!B64</f>
        <v>USD</v>
      </c>
      <c r="J64" s="13" t="str">
        <f>IF(I64="USD",INDEX('AP Plants'!A:A,MATCH(G64,'AP Plants'!D:D,0)),INDEX('Australia Plants'!A:A,MATCH(G64,'Australia Plants'!D:D,0)))</f>
        <v>Greenville</v>
      </c>
      <c r="K64" s="73">
        <v>1</v>
      </c>
      <c r="L64" s="97">
        <v>63613</v>
      </c>
      <c r="M64" s="97">
        <v>44417.02</v>
      </c>
      <c r="N64" s="99">
        <v>9.0956929666749731E-2</v>
      </c>
      <c r="O64" s="25">
        <f t="shared" si="13"/>
        <v>0.3017619040133307</v>
      </c>
      <c r="P64" s="14">
        <f>IFERROR(IF(OR(B64&amp;C64="PAU",B64&amp;C64="AIN"),VLOOKUP(B64&amp;C64&amp;G64,#REF!,8,0),VLOOKUP(B64&amp;G64,#REF!,8,0)),0)</f>
        <v>0</v>
      </c>
      <c r="Q64" s="15">
        <f t="shared" si="34"/>
        <v>9.0956929666749731E-2</v>
      </c>
      <c r="R64" s="16" t="str">
        <f t="shared" si="15"/>
        <v>AOP</v>
      </c>
      <c r="S64" s="17">
        <f t="shared" si="16"/>
        <v>4040.0357641466157</v>
      </c>
      <c r="T64" s="18">
        <f t="shared" si="17"/>
        <v>4040.0357641466157</v>
      </c>
      <c r="U64" s="23">
        <f t="shared" si="4"/>
        <v>44417.02</v>
      </c>
      <c r="Y64" s="8" t="str">
        <f t="shared" si="18"/>
        <v>ATHH64089NDR035EC</v>
      </c>
      <c r="Z64" s="8" t="str">
        <f>IF(Y64='Input - Bookings'!Q55,"OK","Check")</f>
        <v>Check</v>
      </c>
      <c r="AA64" s="139"/>
      <c r="AB64" s="103">
        <v>0</v>
      </c>
      <c r="AC64" s="103">
        <v>0</v>
      </c>
      <c r="AD64" s="100">
        <v>39165.706432999999</v>
      </c>
      <c r="AE64" s="100"/>
      <c r="AF64" s="8" t="str">
        <f t="array" ref="AF64">_xlfn.XLOOKUP($G64,'AP Plants'!D:D,'AP Plants'!B:B)</f>
        <v>Class 2</v>
      </c>
      <c r="AG64" s="102"/>
      <c r="AH64" s="102">
        <f>(AD64*(1+VLOOKUP(J64,'Currency &amp; Conversion'!$F$12:$I$18,2,0)))+((AB64+AC64)*90%)</f>
        <v>39200.955568789694</v>
      </c>
      <c r="AI64" s="44">
        <v>1.4999999999999999E-2</v>
      </c>
      <c r="AJ64" s="15">
        <f>_xlfn.XLOOKUP($AF64,Warranty!B:B,Warranty!E:E)</f>
        <v>1.4999999999999999E-2</v>
      </c>
      <c r="AK64" s="8">
        <f>IF($I64="AUD",VLOOKUP(RIGHT('Wk - Margins'!$G64,3),'AU Freight'!C:G,5,0),0)</f>
        <v>0</v>
      </c>
      <c r="AL64" s="15">
        <f t="shared" si="19"/>
        <v>0</v>
      </c>
      <c r="AM64" s="61">
        <f t="shared" si="20"/>
        <v>40376.984235853379</v>
      </c>
      <c r="AN64" s="63">
        <f t="shared" si="21"/>
        <v>9.0956929666749731E-2</v>
      </c>
      <c r="AQ64" s="147"/>
    </row>
    <row r="65" spans="1:43">
      <c r="A65" s="10" t="str">
        <f>'Input - Bookings'!A65</f>
        <v>10-04</v>
      </c>
      <c r="B65" s="11" t="str">
        <f>'Input - Bookings'!C65</f>
        <v>A</v>
      </c>
      <c r="C65" s="11" t="str">
        <f>'Input - Bookings'!H65</f>
        <v>TH</v>
      </c>
      <c r="D65" s="24" t="str">
        <f>'Input - Bookings'!E65</f>
        <v>067</v>
      </c>
      <c r="E65" s="24" t="str">
        <f>'Input - Bookings'!G65</f>
        <v>JENBUNJERD CO LTD</v>
      </c>
      <c r="F65" s="24" t="str">
        <f>'Input - Bookings'!I65</f>
        <v>H64186</v>
      </c>
      <c r="G65" s="24" t="str">
        <f>'Input - Bookings'!L65</f>
        <v>E861</v>
      </c>
      <c r="H65" s="24" t="str">
        <f>'Input - Bookings'!M65</f>
        <v>NDR035EC</v>
      </c>
      <c r="I65" s="24" t="str">
        <f>'Input - Bookings'!B65</f>
        <v>USD</v>
      </c>
      <c r="J65" s="13" t="str">
        <f>IF(I65="USD",INDEX('AP Plants'!A:A,MATCH(G65,'AP Plants'!D:D,0)),INDEX('Australia Plants'!A:A,MATCH(G65,'Australia Plants'!D:D,0)))</f>
        <v>Greenville</v>
      </c>
      <c r="K65" s="73">
        <v>1</v>
      </c>
      <c r="L65" s="97">
        <v>54083</v>
      </c>
      <c r="M65" s="97">
        <v>38753.440000000002</v>
      </c>
      <c r="N65" s="99">
        <f>AN65</f>
        <v>8.5001467906906658E-3</v>
      </c>
      <c r="O65" s="25">
        <f t="shared" si="13"/>
        <v>0.28344507516225059</v>
      </c>
      <c r="P65" s="14">
        <f>IFERROR(IF(OR(B65&amp;C65="PAU",B65&amp;C65="AIN"),VLOOKUP(B65&amp;C65&amp;G65,#REF!,8,0),VLOOKUP(B65&amp;G65,#REF!,8,0)),0)</f>
        <v>0</v>
      </c>
      <c r="Q65" s="15">
        <f t="shared" si="34"/>
        <v>8.5001467906906658E-3</v>
      </c>
      <c r="R65" s="16" t="str">
        <f t="shared" si="15"/>
        <v>AOP</v>
      </c>
      <c r="S65" s="17">
        <f t="shared" si="16"/>
        <v>329.40992864422327</v>
      </c>
      <c r="T65" s="18">
        <f t="shared" si="17"/>
        <v>329.40992864422327</v>
      </c>
      <c r="U65" s="23">
        <f t="shared" si="4"/>
        <v>38753.440000000002</v>
      </c>
      <c r="Y65" s="8" t="str">
        <f t="shared" si="18"/>
        <v>ATHH64186NDR035EC</v>
      </c>
      <c r="Z65" s="8" t="str">
        <f>IF(Y65='Input - Bookings'!Q56,"OK","Check")</f>
        <v>Check</v>
      </c>
      <c r="AA65" s="139"/>
      <c r="AB65" s="103">
        <v>0</v>
      </c>
      <c r="AC65" s="103">
        <v>0</v>
      </c>
      <c r="AD65" s="100">
        <v>37271.339358999998</v>
      </c>
      <c r="AE65" s="100"/>
      <c r="AF65" s="31" t="str">
        <f t="array" ref="AF65">_xlfn.XLOOKUP($G65,'AP Plants'!D:D,'AP Plants'!B:B)</f>
        <v>Class 2</v>
      </c>
      <c r="AG65" s="102"/>
      <c r="AH65" s="102">
        <f>(AD65*(1+VLOOKUP(J65,'Currency &amp; Conversion'!$F$12:$I$18,2,0)))+((AB65+AC65)*90%)</f>
        <v>37304.883564423093</v>
      </c>
      <c r="AI65" s="44">
        <v>1.4999999999999999E-2</v>
      </c>
      <c r="AJ65" s="15">
        <f>_xlfn.XLOOKUP($AF65,Warranty!B:B,Warranty!E:E)</f>
        <v>1.4999999999999999E-2</v>
      </c>
      <c r="AK65" s="8">
        <f>IF($I65="AUD",VLOOKUP(RIGHT('Wk - Margins'!$G65,3),'AU Freight'!C:G,5,0),0)</f>
        <v>0</v>
      </c>
      <c r="AL65" s="15">
        <f t="shared" si="19"/>
        <v>0</v>
      </c>
      <c r="AM65" s="61">
        <f t="shared" si="20"/>
        <v>38424.030071355781</v>
      </c>
      <c r="AN65" s="63">
        <f t="shared" si="21"/>
        <v>8.5001467906906658E-3</v>
      </c>
      <c r="AQ65" s="147"/>
    </row>
    <row r="66" spans="1:43">
      <c r="A66" s="10" t="str">
        <f>'Input - Bookings'!A66</f>
        <v>10-04</v>
      </c>
      <c r="B66" s="11" t="str">
        <f>'Input - Bookings'!C66</f>
        <v>A</v>
      </c>
      <c r="C66" s="11" t="str">
        <f>'Input - Bookings'!H66</f>
        <v>VN</v>
      </c>
      <c r="D66" s="24" t="str">
        <f>'Input - Bookings'!E66</f>
        <v>067</v>
      </c>
      <c r="E66" s="24" t="str">
        <f>'Input - Bookings'!G66</f>
        <v>KY LUC CO., LTD</v>
      </c>
      <c r="F66" s="24" t="str">
        <f>'Input - Bookings'!I66</f>
        <v>H64084</v>
      </c>
      <c r="G66" s="24" t="str">
        <f>'Input - Bookings'!L66</f>
        <v>A7S1</v>
      </c>
      <c r="H66" s="24" t="str">
        <f>'Input - Bookings'!M66</f>
        <v>GP35UX</v>
      </c>
      <c r="I66" s="24" t="str">
        <f>'Input - Bookings'!B66</f>
        <v>USD</v>
      </c>
      <c r="J66" s="13" t="str">
        <f>IF(I66="USD",INDEX('AP Plants'!A:A,MATCH(G66,'AP Plants'!D:D,0)),INDEX('Australia Plants'!A:A,MATCH(G66,'Australia Plants'!D:D,0)))</f>
        <v>Maximal</v>
      </c>
      <c r="K66" s="73">
        <v>1</v>
      </c>
      <c r="L66" s="97">
        <v>22640</v>
      </c>
      <c r="M66" s="97">
        <v>13916.5</v>
      </c>
      <c r="N66" s="99">
        <v>0.20294375077255988</v>
      </c>
      <c r="O66" s="25">
        <f t="shared" si="13"/>
        <v>0.38531360424028271</v>
      </c>
      <c r="P66" s="14">
        <f>IFERROR(IF(OR(B66&amp;C66="PAU",B66&amp;C66="AIN"),VLOOKUP(B66&amp;C66&amp;G66,#REF!,8,0),VLOOKUP(B66&amp;G66,#REF!,8,0)),0)</f>
        <v>0</v>
      </c>
      <c r="Q66" s="15">
        <f t="shared" si="34"/>
        <v>0.20294375077255988</v>
      </c>
      <c r="R66" s="16" t="str">
        <f t="shared" si="15"/>
        <v>AOP</v>
      </c>
      <c r="S66" s="17">
        <f t="shared" si="16"/>
        <v>2824.2667076263297</v>
      </c>
      <c r="T66" s="18">
        <f t="shared" si="17"/>
        <v>2824.2667076263297</v>
      </c>
      <c r="U66" s="23">
        <f t="shared" si="4"/>
        <v>13916.5</v>
      </c>
      <c r="Y66" s="8" t="str">
        <f t="shared" si="18"/>
        <v>AVNH64084GP35UX</v>
      </c>
      <c r="Z66" s="8" t="str">
        <f>IF(Y66='Input - Bookings'!Q58,"OK","Check")</f>
        <v>Check</v>
      </c>
      <c r="AA66" s="139"/>
      <c r="AB66" s="103"/>
      <c r="AC66" s="103"/>
      <c r="AD66" s="100">
        <v>10874.738521934973</v>
      </c>
      <c r="AE66" s="100"/>
      <c r="AF66" s="31" t="str">
        <f t="array" ref="AF66">_xlfn.XLOOKUP($G66,'AP Plants'!D:D,'AP Plants'!B:B)</f>
        <v>Class 5 NOT BT</v>
      </c>
      <c r="AG66" s="102"/>
      <c r="AH66" s="102">
        <f t="shared" ref="AH66:AH67" si="35">AD66</f>
        <v>10874.738521934973</v>
      </c>
      <c r="AI66" s="44">
        <v>1.4999999999999999E-2</v>
      </c>
      <c r="AJ66" s="15">
        <f>_xlfn.XLOOKUP($AF66,Warranty!B:B,Warranty!E:E)</f>
        <v>5.0000000000000001E-3</v>
      </c>
      <c r="AK66" s="8">
        <f>IF($I66="AUD",VLOOKUP(RIGHT('Wk - Margins'!$G66,3),'AU Freight'!C:G,5,0),0)</f>
        <v>0</v>
      </c>
      <c r="AL66" s="15">
        <f t="shared" si="19"/>
        <v>0</v>
      </c>
      <c r="AM66" s="61">
        <f t="shared" si="20"/>
        <v>11092.23329237367</v>
      </c>
      <c r="AN66" s="63">
        <f t="shared" si="21"/>
        <v>0.20294375077255988</v>
      </c>
      <c r="AQ66" s="147"/>
    </row>
    <row r="67" spans="1:43">
      <c r="A67" s="10" t="str">
        <f>'Input - Bookings'!A67</f>
        <v>10-04</v>
      </c>
      <c r="B67" s="11" t="str">
        <f>'Input - Bookings'!C67</f>
        <v>A</v>
      </c>
      <c r="C67" s="11" t="str">
        <f>'Input - Bookings'!H67</f>
        <v>VN</v>
      </c>
      <c r="D67" s="24" t="str">
        <f>'Input - Bookings'!E67</f>
        <v>067</v>
      </c>
      <c r="E67" s="24" t="str">
        <f>'Input - Bookings'!G67</f>
        <v>KY LUC CO., LTD</v>
      </c>
      <c r="F67" s="24" t="str">
        <f>'Input - Bookings'!I67</f>
        <v>H64085</v>
      </c>
      <c r="G67" s="24" t="str">
        <f>'Input - Bookings'!L67</f>
        <v>A7S1</v>
      </c>
      <c r="H67" s="24" t="str">
        <f>'Input - Bookings'!M67</f>
        <v>GP35UX</v>
      </c>
      <c r="I67" s="24" t="str">
        <f>'Input - Bookings'!B67</f>
        <v>USD</v>
      </c>
      <c r="J67" s="13" t="str">
        <f>IF(I67="USD",INDEX('AP Plants'!A:A,MATCH(G67,'AP Plants'!D:D,0)),INDEX('Australia Plants'!A:A,MATCH(G67,'Australia Plants'!D:D,0)))</f>
        <v>Maximal</v>
      </c>
      <c r="K67" s="73">
        <v>1</v>
      </c>
      <c r="L67" s="97">
        <v>22640</v>
      </c>
      <c r="M67" s="97">
        <v>13916.5</v>
      </c>
      <c r="N67" s="99">
        <v>0.20294375077255988</v>
      </c>
      <c r="O67" s="25">
        <f t="shared" si="13"/>
        <v>0.38531360424028271</v>
      </c>
      <c r="P67" s="14">
        <f>IFERROR(IF(OR(B67&amp;C67="PAU",B67&amp;C67="AIN"),VLOOKUP(B67&amp;C67&amp;G67,#REF!,8,0),VLOOKUP(B67&amp;G67,#REF!,8,0)),0)</f>
        <v>0</v>
      </c>
      <c r="Q67" s="15">
        <f t="shared" si="34"/>
        <v>0.20294375077255988</v>
      </c>
      <c r="R67" s="16" t="str">
        <f t="shared" si="15"/>
        <v>AOP</v>
      </c>
      <c r="S67" s="17">
        <f t="shared" si="16"/>
        <v>2824.2667076263297</v>
      </c>
      <c r="T67" s="18">
        <f t="shared" si="17"/>
        <v>2824.2667076263297</v>
      </c>
      <c r="U67" s="23">
        <f t="shared" ref="U67:U130" si="36">IF(I67="USD",M67,M67/$X$6)</f>
        <v>13916.5</v>
      </c>
      <c r="Y67" s="8" t="str">
        <f t="shared" si="18"/>
        <v>AVNH64085GP35UX</v>
      </c>
      <c r="Z67" s="8" t="str">
        <f>IF(Y67='Input - Bookings'!Q59,"OK","Check")</f>
        <v>Check</v>
      </c>
      <c r="AA67" s="139"/>
      <c r="AB67" s="103"/>
      <c r="AC67" s="103"/>
      <c r="AD67" s="100">
        <v>10874.738521934973</v>
      </c>
      <c r="AE67" s="100"/>
      <c r="AF67" s="31" t="str">
        <f t="array" ref="AF67">_xlfn.XLOOKUP($G67,'AP Plants'!D:D,'AP Plants'!B:B)</f>
        <v>Class 5 NOT BT</v>
      </c>
      <c r="AG67" s="102"/>
      <c r="AH67" s="102">
        <f t="shared" si="35"/>
        <v>10874.738521934973</v>
      </c>
      <c r="AI67" s="44">
        <v>1.4999999999999999E-2</v>
      </c>
      <c r="AJ67" s="15">
        <f>_xlfn.XLOOKUP($AF67,Warranty!B:B,Warranty!E:E)</f>
        <v>5.0000000000000001E-3</v>
      </c>
      <c r="AK67" s="8">
        <f>IF($I67="AUD",VLOOKUP(RIGHT('Wk - Margins'!$G67,3),'AU Freight'!C:G,5,0),0)</f>
        <v>0</v>
      </c>
      <c r="AL67" s="15">
        <f t="shared" si="19"/>
        <v>0</v>
      </c>
      <c r="AM67" s="61">
        <f t="shared" si="20"/>
        <v>11092.23329237367</v>
      </c>
      <c r="AN67" s="63">
        <f t="shared" si="21"/>
        <v>0.20294375077255988</v>
      </c>
      <c r="AQ67" s="147"/>
    </row>
    <row r="68" spans="1:43">
      <c r="A68" s="10" t="str">
        <f>'Input - Bookings'!A68</f>
        <v>10-05</v>
      </c>
      <c r="B68" s="11" t="str">
        <f>'Input - Bookings'!C68</f>
        <v>A</v>
      </c>
      <c r="C68" s="11" t="str">
        <f>'Input - Bookings'!H68</f>
        <v>VN</v>
      </c>
      <c r="D68" s="24" t="str">
        <f>'Input - Bookings'!E68</f>
        <v>065</v>
      </c>
      <c r="E68" s="24" t="str">
        <f>'Input - Bookings'!G68</f>
        <v>MICO MACHINERY &amp;</v>
      </c>
      <c r="F68" s="24" t="str">
        <f>'Input - Bookings'!I68</f>
        <v>H64209</v>
      </c>
      <c r="G68" s="24" t="str">
        <f>'Input - Bookings'!L68</f>
        <v>D435</v>
      </c>
      <c r="H68" s="24" t="str">
        <f>'Input - Bookings'!M68</f>
        <v>R2.0HD</v>
      </c>
      <c r="I68" s="24" t="str">
        <f>'Input - Bookings'!B68</f>
        <v>USD</v>
      </c>
      <c r="J68" s="13" t="str">
        <f>IF(I68="USD",INDEX('AP Plants'!A:A,MATCH(G68,'AP Plants'!D:D,0)),INDEX('Australia Plants'!A:A,MATCH(G68,'Australia Plants'!D:D,0)))</f>
        <v>Masate</v>
      </c>
      <c r="K68" s="73">
        <v>1</v>
      </c>
      <c r="L68" s="97">
        <v>59150</v>
      </c>
      <c r="M68" s="97">
        <v>39613.199999999997</v>
      </c>
      <c r="N68" s="99">
        <v>0.26980549376422147</v>
      </c>
      <c r="O68" s="25">
        <f t="shared" si="13"/>
        <v>0.3302924767540153</v>
      </c>
      <c r="P68" s="14">
        <f>IFERROR(IF(OR(B68&amp;C68="PAU",B68&amp;C68="AIN"),VLOOKUP(B68&amp;C68&amp;G68,#REF!,8,0),VLOOKUP(B68&amp;G68,#REF!,8,0)),0)</f>
        <v>0</v>
      </c>
      <c r="Q68" s="15">
        <f t="shared" si="34"/>
        <v>0.26980549376422147</v>
      </c>
      <c r="R68" s="16" t="str">
        <f t="shared" si="15"/>
        <v>AOP</v>
      </c>
      <c r="S68" s="17">
        <f t="shared" si="16"/>
        <v>10687.858985580857</v>
      </c>
      <c r="T68" s="18">
        <f t="shared" si="17"/>
        <v>10687.858985580857</v>
      </c>
      <c r="U68" s="23">
        <f t="shared" si="36"/>
        <v>39613.199999999997</v>
      </c>
      <c r="Y68" s="8" t="str">
        <f t="shared" si="18"/>
        <v>AVNH64209R2.0HD</v>
      </c>
      <c r="Z68" s="8" t="str">
        <f>IF(Y68='Input - Bookings'!Q61,"OK","Check")</f>
        <v>Check</v>
      </c>
      <c r="AA68" s="139"/>
      <c r="AB68" s="103">
        <v>0</v>
      </c>
      <c r="AC68" s="103">
        <v>0</v>
      </c>
      <c r="AD68" s="100"/>
      <c r="AE68" s="100">
        <v>25981.63</v>
      </c>
      <c r="AF68" s="8" t="str">
        <f t="array" ref="AF68">_xlfn.XLOOKUP($G68,'AP Plants'!D:D,'AP Plants'!B:B)</f>
        <v>Class 2</v>
      </c>
      <c r="AG68" s="102"/>
      <c r="AH68" s="102">
        <f>(AE68*(1+VLOOKUP(J68,'Currency &amp; Conversion'!$F$12:$I$18,2,0))*'Currency &amp; Conversion'!$L$3)+((AB68+AC68)*90%)</f>
        <v>28082.855353804996</v>
      </c>
      <c r="AI68" s="44">
        <v>1.4999999999999999E-2</v>
      </c>
      <c r="AJ68" s="15">
        <f>_xlfn.XLOOKUP($AF68,Warranty!B:B,Warranty!E:E)</f>
        <v>1.4999999999999999E-2</v>
      </c>
      <c r="AK68" s="8">
        <f>IF($I68="AUD",VLOOKUP(RIGHT('Wk - Margins'!$G68,3),'AU Freight'!C:G,5,0),0)</f>
        <v>0</v>
      </c>
      <c r="AL68" s="15">
        <f t="shared" si="19"/>
        <v>0</v>
      </c>
      <c r="AM68" s="61">
        <f t="shared" si="20"/>
        <v>28925.34101441914</v>
      </c>
      <c r="AN68" s="63">
        <f t="shared" si="21"/>
        <v>0.26980549376422147</v>
      </c>
      <c r="AQ68" s="147"/>
    </row>
    <row r="69" spans="1:43">
      <c r="A69" s="10" t="str">
        <f>'Input - Bookings'!A69</f>
        <v>10-05</v>
      </c>
      <c r="B69" s="11" t="str">
        <f>'Input - Bookings'!C69</f>
        <v>A</v>
      </c>
      <c r="C69" s="11" t="str">
        <f>'Input - Bookings'!H69</f>
        <v>VN</v>
      </c>
      <c r="D69" s="24" t="str">
        <f>'Input - Bookings'!E69</f>
        <v>065</v>
      </c>
      <c r="E69" s="24" t="str">
        <f>'Input - Bookings'!G69</f>
        <v>MICO MACHINERY &amp;</v>
      </c>
      <c r="F69" s="24" t="str">
        <f>'Input - Bookings'!I69</f>
        <v>H64210</v>
      </c>
      <c r="G69" s="24" t="str">
        <f>'Input - Bookings'!L69</f>
        <v>D435</v>
      </c>
      <c r="H69" s="24" t="str">
        <f>'Input - Bookings'!M69</f>
        <v>R2.0HD</v>
      </c>
      <c r="I69" s="24" t="str">
        <f>'Input - Bookings'!B69</f>
        <v>USD</v>
      </c>
      <c r="J69" s="13" t="str">
        <f>IF(I69="USD",INDEX('AP Plants'!A:A,MATCH(G69,'AP Plants'!D:D,0)),INDEX('Australia Plants'!A:A,MATCH(G69,'Australia Plants'!D:D,0)))</f>
        <v>Masate</v>
      </c>
      <c r="K69" s="73">
        <v>1</v>
      </c>
      <c r="L69" s="97">
        <v>59150</v>
      </c>
      <c r="M69" s="97">
        <v>39613.199999999997</v>
      </c>
      <c r="N69" s="99">
        <v>0.26980549376422147</v>
      </c>
      <c r="O69" s="25">
        <f t="shared" si="13"/>
        <v>0.3302924767540153</v>
      </c>
      <c r="P69" s="14">
        <f>IFERROR(IF(OR(B69&amp;C69="PAU",B69&amp;C69="AIN"),VLOOKUP(B69&amp;C69&amp;G69,#REF!,8,0),VLOOKUP(B69&amp;G69,#REF!,8,0)),0)</f>
        <v>0</v>
      </c>
      <c r="Q69" s="15">
        <f t="shared" si="34"/>
        <v>0.26980549376422147</v>
      </c>
      <c r="R69" s="16" t="str">
        <f t="shared" si="15"/>
        <v>AOP</v>
      </c>
      <c r="S69" s="17">
        <f t="shared" si="16"/>
        <v>10687.858985580857</v>
      </c>
      <c r="T69" s="18">
        <f t="shared" si="17"/>
        <v>10687.858985580857</v>
      </c>
      <c r="U69" s="23">
        <f t="shared" si="36"/>
        <v>39613.199999999997</v>
      </c>
      <c r="Y69" s="8" t="str">
        <f t="shared" si="18"/>
        <v>AVNH64210R2.0HD</v>
      </c>
      <c r="Z69" s="8" t="str">
        <f>IF(Y69='Input - Bookings'!Q62,"OK","Check")</f>
        <v>Check</v>
      </c>
      <c r="AA69" s="118"/>
      <c r="AB69" s="103">
        <v>0</v>
      </c>
      <c r="AC69" s="103">
        <v>0</v>
      </c>
      <c r="AD69" s="100"/>
      <c r="AE69" s="100">
        <v>25981.63</v>
      </c>
      <c r="AF69" s="31" t="str">
        <f t="array" ref="AF69">_xlfn.XLOOKUP($G69,'AP Plants'!D:D,'AP Plants'!B:B)</f>
        <v>Class 2</v>
      </c>
      <c r="AG69" s="102"/>
      <c r="AH69" s="102">
        <f>(AE69*(1+VLOOKUP(J69,'Currency &amp; Conversion'!$F$12:$I$18,2,0))*'Currency &amp; Conversion'!$L$3)+((AB69+AC69)*90%)</f>
        <v>28082.855353804996</v>
      </c>
      <c r="AI69" s="44">
        <v>1.4999999999999999E-2</v>
      </c>
      <c r="AJ69" s="15">
        <f>_xlfn.XLOOKUP($AF69,Warranty!B:B,Warranty!E:E)</f>
        <v>1.4999999999999999E-2</v>
      </c>
      <c r="AK69" s="8">
        <f>IF($I69="AUD",VLOOKUP(RIGHT('Wk - Margins'!$G69,3),'AU Freight'!C:G,5,0),0)</f>
        <v>0</v>
      </c>
      <c r="AL69" s="15">
        <f t="shared" si="19"/>
        <v>0</v>
      </c>
      <c r="AM69" s="61">
        <f t="shared" si="20"/>
        <v>28925.34101441914</v>
      </c>
      <c r="AN69" s="63">
        <f t="shared" si="21"/>
        <v>0.26980549376422147</v>
      </c>
      <c r="AQ69" s="147"/>
    </row>
    <row r="70" spans="1:43">
      <c r="A70" s="10" t="str">
        <f>'Input - Bookings'!A70</f>
        <v>10-05</v>
      </c>
      <c r="B70" s="11" t="str">
        <f>'Input - Bookings'!C70</f>
        <v>A</v>
      </c>
      <c r="C70" s="11" t="str">
        <f>'Input - Bookings'!H70</f>
        <v>VN</v>
      </c>
      <c r="D70" s="24" t="str">
        <f>'Input - Bookings'!E70</f>
        <v>065</v>
      </c>
      <c r="E70" s="24" t="str">
        <f>'Input - Bookings'!G70</f>
        <v>MICO MACHINERY &amp;</v>
      </c>
      <c r="F70" s="24" t="str">
        <f>'Input - Bookings'!I70</f>
        <v>H64211</v>
      </c>
      <c r="G70" s="24" t="str">
        <f>'Input - Bookings'!L70</f>
        <v>D435</v>
      </c>
      <c r="H70" s="24" t="str">
        <f>'Input - Bookings'!M70</f>
        <v>R2.0HD</v>
      </c>
      <c r="I70" s="24" t="str">
        <f>'Input - Bookings'!B70</f>
        <v>USD</v>
      </c>
      <c r="J70" s="13" t="str">
        <f>IF(I70="USD",INDEX('AP Plants'!A:A,MATCH(G70,'AP Plants'!D:D,0)),INDEX('Australia Plants'!A:A,MATCH(G70,'Australia Plants'!D:D,0)))</f>
        <v>Masate</v>
      </c>
      <c r="K70" s="73">
        <v>1</v>
      </c>
      <c r="L70" s="97">
        <v>59150</v>
      </c>
      <c r="M70" s="97">
        <v>39613.199999999997</v>
      </c>
      <c r="N70" s="99">
        <v>0.26980549376422147</v>
      </c>
      <c r="O70" s="25">
        <f t="shared" si="13"/>
        <v>0.3302924767540153</v>
      </c>
      <c r="P70" s="14">
        <f>IFERROR(IF(OR(B70&amp;C70="PAU",B70&amp;C70="AIN"),VLOOKUP(B70&amp;C70&amp;G70,#REF!,8,0),VLOOKUP(B70&amp;G70,#REF!,8,0)),0)</f>
        <v>0</v>
      </c>
      <c r="Q70" s="15">
        <f t="shared" si="34"/>
        <v>0.26980549376422147</v>
      </c>
      <c r="R70" s="16" t="str">
        <f t="shared" si="15"/>
        <v>AOP</v>
      </c>
      <c r="S70" s="17">
        <f t="shared" si="16"/>
        <v>10687.858985580857</v>
      </c>
      <c r="T70" s="18">
        <f t="shared" si="17"/>
        <v>10687.858985580857</v>
      </c>
      <c r="U70" s="23">
        <f t="shared" si="36"/>
        <v>39613.199999999997</v>
      </c>
      <c r="Y70" s="8" t="str">
        <f t="shared" si="18"/>
        <v>AVNH64211R2.0HD</v>
      </c>
      <c r="Z70" s="8" t="str">
        <f>IF(Y70='Input - Bookings'!Q63,"OK","Check")</f>
        <v>Check</v>
      </c>
      <c r="AA70" s="118"/>
      <c r="AB70" s="103">
        <v>0</v>
      </c>
      <c r="AC70" s="103">
        <v>0</v>
      </c>
      <c r="AD70" s="100"/>
      <c r="AE70" s="100">
        <v>25981.63</v>
      </c>
      <c r="AF70" s="8" t="str">
        <f t="array" ref="AF70">_xlfn.XLOOKUP($G70,'AP Plants'!D:D,'AP Plants'!B:B)</f>
        <v>Class 2</v>
      </c>
      <c r="AG70" s="102"/>
      <c r="AH70" s="102">
        <f>(AE70*(1+VLOOKUP(J70,'Currency &amp; Conversion'!$F$12:$I$18,2,0))*'Currency &amp; Conversion'!$L$3)+((AB70+AC70)*90%)</f>
        <v>28082.855353804996</v>
      </c>
      <c r="AI70" s="44">
        <v>1.4999999999999999E-2</v>
      </c>
      <c r="AJ70" s="15">
        <f>_xlfn.XLOOKUP($AF70,Warranty!B:B,Warranty!E:E)</f>
        <v>1.4999999999999999E-2</v>
      </c>
      <c r="AK70" s="8">
        <f>IF($I70="AUD",VLOOKUP(RIGHT('Wk - Margins'!$G70,3),'AU Freight'!C:G,5,0),0)</f>
        <v>0</v>
      </c>
      <c r="AL70" s="15">
        <f t="shared" si="19"/>
        <v>0</v>
      </c>
      <c r="AM70" s="61">
        <f t="shared" si="20"/>
        <v>28925.34101441914</v>
      </c>
      <c r="AN70" s="63">
        <f t="shared" si="21"/>
        <v>0.26980549376422147</v>
      </c>
      <c r="AQ70" s="147"/>
    </row>
    <row r="71" spans="1:43">
      <c r="A71" s="10" t="str">
        <f>'Input - Bookings'!A71</f>
        <v>10-06</v>
      </c>
      <c r="B71" s="11" t="str">
        <f>'Input - Bookings'!C71</f>
        <v>A</v>
      </c>
      <c r="C71" s="11" t="str">
        <f>'Input - Bookings'!H71</f>
        <v>VN</v>
      </c>
      <c r="D71" s="24" t="str">
        <f>'Input - Bookings'!E71</f>
        <v>065</v>
      </c>
      <c r="E71" s="24" t="str">
        <f>'Input - Bookings'!G71</f>
        <v>MICO MACHINERY &amp;</v>
      </c>
      <c r="F71" s="146" t="str">
        <f>'Input - Bookings'!I71</f>
        <v>H64452</v>
      </c>
      <c r="G71" s="24" t="str">
        <f>'Input - Bookings'!L71</f>
        <v>A6W9</v>
      </c>
      <c r="H71" s="24" t="str">
        <f>'Input - Bookings'!M71</f>
        <v>PC1.5</v>
      </c>
      <c r="I71" s="24" t="str">
        <f>'Input - Bookings'!B71</f>
        <v>USD</v>
      </c>
      <c r="J71" s="13" t="str">
        <f>IF(I71="USD",INDEX('AP Plants'!A:A,MATCH(G71,'AP Plants'!D:D,0)),INDEX('Australia Plants'!A:A,MATCH(G71,'Australia Plants'!D:D,0)))</f>
        <v>Staxx</v>
      </c>
      <c r="K71" s="73">
        <v>1</v>
      </c>
      <c r="L71" s="97">
        <v>1440</v>
      </c>
      <c r="M71" s="97">
        <v>994.5</v>
      </c>
      <c r="N71" s="99">
        <v>0.3243732733979493</v>
      </c>
      <c r="O71" s="25">
        <f t="shared" si="13"/>
        <v>0.30937499999999996</v>
      </c>
      <c r="P71" s="14">
        <f>IFERROR(IF(OR(B71&amp;C71="PAU",B71&amp;C71="AIN"),VLOOKUP(B71&amp;C71&amp;G71,#REF!,8,0),VLOOKUP(B71&amp;G71,#REF!,8,0)),0)</f>
        <v>0</v>
      </c>
      <c r="Q71" s="15">
        <f t="shared" si="34"/>
        <v>0.3243732733979493</v>
      </c>
      <c r="R71" s="16" t="str">
        <f t="shared" si="15"/>
        <v>AOP</v>
      </c>
      <c r="S71" s="17">
        <f t="shared" si="16"/>
        <v>322.58922039426056</v>
      </c>
      <c r="T71" s="18">
        <f t="shared" si="17"/>
        <v>322.58922039426056</v>
      </c>
      <c r="U71" s="23">
        <f t="shared" si="36"/>
        <v>994.5</v>
      </c>
      <c r="Y71" s="8" t="str">
        <f t="shared" si="18"/>
        <v>AVNH64452PC1.5</v>
      </c>
      <c r="Z71" s="8" t="str">
        <f>IF(Y71='Input - Bookings'!Q64,"OK","Check")</f>
        <v>Check</v>
      </c>
      <c r="AA71" s="139"/>
      <c r="AB71" s="103"/>
      <c r="AC71" s="103"/>
      <c r="AD71" s="100">
        <f>642.340562724019+10</f>
        <v>652.34056272401904</v>
      </c>
      <c r="AE71" s="100"/>
      <c r="AF71" s="31" t="str">
        <f t="array" ref="AF71">_xlfn.XLOOKUP($G71,'AP Plants'!D:D,'AP Plants'!B:B)</f>
        <v>Class 3</v>
      </c>
      <c r="AG71" s="102"/>
      <c r="AH71" s="102">
        <f t="shared" ref="AH71:AH99" si="37">AD71</f>
        <v>652.34056272401904</v>
      </c>
      <c r="AI71" s="44">
        <v>1.4999999999999999E-2</v>
      </c>
      <c r="AJ71" s="15">
        <f>_xlfn.XLOOKUP($AF71,Warranty!B:B,Warranty!E:E)</f>
        <v>1.4999999999999999E-2</v>
      </c>
      <c r="AK71" s="8">
        <f>IF($I71="AUD",VLOOKUP(RIGHT('Wk - Margins'!$G71,3),'AU Freight'!C:G,5,0),0)</f>
        <v>0</v>
      </c>
      <c r="AL71" s="15">
        <f t="shared" si="19"/>
        <v>0</v>
      </c>
      <c r="AM71" s="61">
        <f t="shared" si="20"/>
        <v>671.91077960573944</v>
      </c>
      <c r="AN71" s="63">
        <f t="shared" si="21"/>
        <v>0.3243732733979493</v>
      </c>
      <c r="AQ71" s="147"/>
    </row>
    <row r="72" spans="1:43">
      <c r="A72" s="10" t="str">
        <f>'Input - Bookings'!A72</f>
        <v>10-06</v>
      </c>
      <c r="B72" s="11" t="str">
        <f>'Input - Bookings'!C72</f>
        <v>A</v>
      </c>
      <c r="C72" s="11" t="str">
        <f>'Input - Bookings'!H72</f>
        <v>VN</v>
      </c>
      <c r="D72" s="24" t="str">
        <f>'Input - Bookings'!E72</f>
        <v>065</v>
      </c>
      <c r="E72" s="24" t="str">
        <f>'Input - Bookings'!G72</f>
        <v>MICO MACHINERY &amp;</v>
      </c>
      <c r="F72" s="146" t="str">
        <f>'Input - Bookings'!I72</f>
        <v>H64453</v>
      </c>
      <c r="G72" s="24" t="str">
        <f>'Input - Bookings'!L72</f>
        <v>A6W9</v>
      </c>
      <c r="H72" s="24" t="str">
        <f>'Input - Bookings'!M72</f>
        <v>PC1.5</v>
      </c>
      <c r="I72" s="24" t="str">
        <f>'Input - Bookings'!B72</f>
        <v>USD</v>
      </c>
      <c r="J72" s="13" t="str">
        <f>IF(I72="USD",INDEX('AP Plants'!A:A,MATCH(G72,'AP Plants'!D:D,0)),INDEX('Australia Plants'!A:A,MATCH(G72,'Australia Plants'!D:D,0)))</f>
        <v>Staxx</v>
      </c>
      <c r="K72" s="73">
        <v>1</v>
      </c>
      <c r="L72" s="97">
        <v>1440</v>
      </c>
      <c r="M72" s="97">
        <v>994.5</v>
      </c>
      <c r="N72" s="99">
        <v>0.3243732733979493</v>
      </c>
      <c r="O72" s="25">
        <f t="shared" si="13"/>
        <v>0.30937499999999996</v>
      </c>
      <c r="P72" s="14">
        <f>IFERROR(IF(OR(B72&amp;C72="PAU",B72&amp;C72="AIN"),VLOOKUP(B72&amp;C72&amp;G72,#REF!,8,0),VLOOKUP(B72&amp;G72,#REF!,8,0)),0)</f>
        <v>0</v>
      </c>
      <c r="Q72" s="15">
        <f t="shared" si="34"/>
        <v>0.3243732733979493</v>
      </c>
      <c r="R72" s="16" t="str">
        <f t="shared" si="15"/>
        <v>AOP</v>
      </c>
      <c r="S72" s="17">
        <f t="shared" si="16"/>
        <v>322.58922039426056</v>
      </c>
      <c r="T72" s="18">
        <f t="shared" si="17"/>
        <v>322.58922039426056</v>
      </c>
      <c r="U72" s="23">
        <f t="shared" si="36"/>
        <v>994.5</v>
      </c>
      <c r="Y72" s="8" t="str">
        <f t="shared" si="18"/>
        <v>AVNH64453PC1.5</v>
      </c>
      <c r="Z72" s="8" t="str">
        <f>IF(Y72='Input - Bookings'!Q65,"OK","Check")</f>
        <v>Check</v>
      </c>
      <c r="AA72" s="118"/>
      <c r="AB72" s="103"/>
      <c r="AC72" s="103"/>
      <c r="AD72" s="100">
        <f t="shared" ref="AD72:AD90" si="38">642.340562724019+10</f>
        <v>652.34056272401904</v>
      </c>
      <c r="AE72" s="100"/>
      <c r="AF72" s="31" t="str">
        <f t="array" ref="AF72">_xlfn.XLOOKUP($G72,'AP Plants'!D:D,'AP Plants'!B:B)</f>
        <v>Class 3</v>
      </c>
      <c r="AG72" s="102"/>
      <c r="AH72" s="102">
        <f t="shared" si="37"/>
        <v>652.34056272401904</v>
      </c>
      <c r="AI72" s="44">
        <v>1.4999999999999999E-2</v>
      </c>
      <c r="AJ72" s="15">
        <f>_xlfn.XLOOKUP($AF72,Warranty!B:B,Warranty!E:E)</f>
        <v>1.4999999999999999E-2</v>
      </c>
      <c r="AK72" s="8">
        <f>IF($I72="AUD",VLOOKUP(RIGHT('Wk - Margins'!$G72,3),'AU Freight'!C:G,5,0),0)</f>
        <v>0</v>
      </c>
      <c r="AL72" s="15">
        <f t="shared" si="19"/>
        <v>0</v>
      </c>
      <c r="AM72" s="61">
        <f t="shared" si="20"/>
        <v>671.91077960573944</v>
      </c>
      <c r="AN72" s="63">
        <f t="shared" si="21"/>
        <v>0.3243732733979493</v>
      </c>
      <c r="AQ72" s="147"/>
    </row>
    <row r="73" spans="1:43">
      <c r="A73" s="10" t="str">
        <f>'Input - Bookings'!A73</f>
        <v>10-06</v>
      </c>
      <c r="B73" s="11" t="str">
        <f>'Input - Bookings'!C73</f>
        <v>A</v>
      </c>
      <c r="C73" s="11" t="str">
        <f>'Input - Bookings'!H73</f>
        <v>VN</v>
      </c>
      <c r="D73" s="24" t="str">
        <f>'Input - Bookings'!E73</f>
        <v>065</v>
      </c>
      <c r="E73" s="24" t="str">
        <f>'Input - Bookings'!G73</f>
        <v>MICO MACHINERY &amp;</v>
      </c>
      <c r="F73" s="146" t="str">
        <f>'Input - Bookings'!I73</f>
        <v>H64454</v>
      </c>
      <c r="G73" s="24" t="str">
        <f>'Input - Bookings'!L73</f>
        <v>A6W9</v>
      </c>
      <c r="H73" s="24" t="str">
        <f>'Input - Bookings'!M73</f>
        <v>PC1.5</v>
      </c>
      <c r="I73" s="24" t="str">
        <f>'Input - Bookings'!B73</f>
        <v>USD</v>
      </c>
      <c r="J73" s="13" t="str">
        <f>IF(I73="USD",INDEX('AP Plants'!A:A,MATCH(G73,'AP Plants'!D:D,0)),INDEX('Australia Plants'!A:A,MATCH(G73,'Australia Plants'!D:D,0)))</f>
        <v>Staxx</v>
      </c>
      <c r="K73" s="73">
        <v>1</v>
      </c>
      <c r="L73" s="97">
        <v>1440</v>
      </c>
      <c r="M73" s="97">
        <v>994.5</v>
      </c>
      <c r="N73" s="99">
        <v>0.3243732733979493</v>
      </c>
      <c r="O73" s="25">
        <f t="shared" ref="O73:O136" si="39">1-M73/L73</f>
        <v>0.30937499999999996</v>
      </c>
      <c r="P73" s="14">
        <f>IFERROR(IF(OR(B73&amp;C73="PAU",B73&amp;C73="AIN"),VLOOKUP(B73&amp;C73&amp;G73,#REF!,8,0),VLOOKUP(B73&amp;G73,#REF!,8,0)),0)</f>
        <v>0</v>
      </c>
      <c r="Q73" s="15">
        <f t="shared" si="34"/>
        <v>0.3243732733979493</v>
      </c>
      <c r="R73" s="16" t="str">
        <f t="shared" ref="R73:R136" si="40">IF(Q73&gt;=0%,"AOP",IF(Q73&gt;=-2%,"GM",IF(Q73&gt;=-6%,"MD","VP")))</f>
        <v>AOP</v>
      </c>
      <c r="S73" s="17">
        <f t="shared" ref="S73:S136" si="41">K73*M73*(N73-P73)</f>
        <v>322.58922039426056</v>
      </c>
      <c r="T73" s="18">
        <f t="shared" ref="T73:T136" si="42">IF(I73="USD",S73,S73/$X$6)</f>
        <v>322.58922039426056</v>
      </c>
      <c r="U73" s="23">
        <f t="shared" si="36"/>
        <v>994.5</v>
      </c>
      <c r="Y73" s="8" t="str">
        <f t="shared" ref="Y73:Y136" si="43">B73&amp;C73&amp;F73&amp;H73</f>
        <v>AVNH64454PC1.5</v>
      </c>
      <c r="Z73" s="8" t="str">
        <f>IF(Y73='Input - Bookings'!Q66,"OK","Check")</f>
        <v>Check</v>
      </c>
      <c r="AA73" s="118"/>
      <c r="AB73" s="103"/>
      <c r="AC73" s="103"/>
      <c r="AD73" s="100">
        <f t="shared" si="38"/>
        <v>652.34056272401904</v>
      </c>
      <c r="AE73" s="110"/>
      <c r="AF73" s="8" t="str">
        <f t="array" ref="AF73">_xlfn.XLOOKUP($G73,'AP Plants'!D:D,'AP Plants'!B:B)</f>
        <v>Class 3</v>
      </c>
      <c r="AG73" s="102"/>
      <c r="AH73" s="102">
        <f t="shared" si="37"/>
        <v>652.34056272401904</v>
      </c>
      <c r="AI73" s="44">
        <v>1.4999999999999999E-2</v>
      </c>
      <c r="AJ73" s="15">
        <f>_xlfn.XLOOKUP($AF73,Warranty!B:B,Warranty!E:E)</f>
        <v>1.4999999999999999E-2</v>
      </c>
      <c r="AK73" s="8">
        <f>IF($I73="AUD",VLOOKUP(RIGHT('Wk - Margins'!$G73,3),'AU Freight'!C:G,5,0),0)</f>
        <v>0</v>
      </c>
      <c r="AL73" s="15">
        <f t="shared" ref="AL73:AL136" si="44">IF(AND($I73="AUD",$AF73="Class 5 BT"),5%,0%)</f>
        <v>0</v>
      </c>
      <c r="AM73" s="61">
        <f t="shared" ref="AM73:AM128" si="45">SUM(AG73:AH73)*(1+AI73+AJ73+AL73)+AK73</f>
        <v>671.91077960573944</v>
      </c>
      <c r="AN73" s="63">
        <f t="shared" si="21"/>
        <v>0.3243732733979493</v>
      </c>
      <c r="AQ73" s="147"/>
    </row>
    <row r="74" spans="1:43">
      <c r="A74" s="10" t="str">
        <f>'Input - Bookings'!A74</f>
        <v>10-06</v>
      </c>
      <c r="B74" s="11" t="str">
        <f>'Input - Bookings'!C74</f>
        <v>A</v>
      </c>
      <c r="C74" s="11" t="str">
        <f>'Input - Bookings'!H74</f>
        <v>VN</v>
      </c>
      <c r="D74" s="24" t="str">
        <f>'Input - Bookings'!E74</f>
        <v>065</v>
      </c>
      <c r="E74" s="24" t="str">
        <f>'Input - Bookings'!G74</f>
        <v>MICO MACHINERY &amp;</v>
      </c>
      <c r="F74" s="146" t="str">
        <f>'Input - Bookings'!I74</f>
        <v>H64455</v>
      </c>
      <c r="G74" s="24" t="str">
        <f>'Input - Bookings'!L74</f>
        <v>A6W9</v>
      </c>
      <c r="H74" s="24" t="str">
        <f>'Input - Bookings'!M74</f>
        <v>PC1.5</v>
      </c>
      <c r="I74" s="24" t="str">
        <f>'Input - Bookings'!B74</f>
        <v>USD</v>
      </c>
      <c r="J74" s="13" t="str">
        <f>IF(I74="USD",INDEX('AP Plants'!A:A,MATCH(G74,'AP Plants'!D:D,0)),INDEX('Australia Plants'!A:A,MATCH(G74,'Australia Plants'!D:D,0)))</f>
        <v>Staxx</v>
      </c>
      <c r="K74" s="73">
        <v>1</v>
      </c>
      <c r="L74" s="97">
        <v>1440</v>
      </c>
      <c r="M74" s="97">
        <v>994.5</v>
      </c>
      <c r="N74" s="99">
        <v>0.3243732733979493</v>
      </c>
      <c r="O74" s="25">
        <f t="shared" si="39"/>
        <v>0.30937499999999996</v>
      </c>
      <c r="P74" s="14">
        <f>IFERROR(IF(OR(B74&amp;C74="PAU",B74&amp;C74="AIN"),VLOOKUP(B74&amp;C74&amp;G74,#REF!,8,0),VLOOKUP(B74&amp;G74,#REF!,8,0)),0)</f>
        <v>0</v>
      </c>
      <c r="Q74" s="15">
        <f t="shared" si="34"/>
        <v>0.3243732733979493</v>
      </c>
      <c r="R74" s="16" t="str">
        <f t="shared" si="40"/>
        <v>AOP</v>
      </c>
      <c r="S74" s="17">
        <f t="shared" si="41"/>
        <v>322.58922039426056</v>
      </c>
      <c r="T74" s="18">
        <f t="shared" si="42"/>
        <v>322.58922039426056</v>
      </c>
      <c r="U74" s="23">
        <f t="shared" si="36"/>
        <v>994.5</v>
      </c>
      <c r="Y74" s="8" t="str">
        <f t="shared" si="43"/>
        <v>AVNH64455PC1.5</v>
      </c>
      <c r="Z74" s="8" t="str">
        <f>IF(Y74='Input - Bookings'!Q67,"OK","Check")</f>
        <v>Check</v>
      </c>
      <c r="AA74" s="139"/>
      <c r="AB74" s="103"/>
      <c r="AC74" s="103"/>
      <c r="AD74" s="100">
        <f t="shared" si="38"/>
        <v>652.34056272401904</v>
      </c>
      <c r="AE74" s="110"/>
      <c r="AF74" s="31" t="str">
        <f t="array" ref="AF74">_xlfn.XLOOKUP($G74,'AP Plants'!D:D,'AP Plants'!B:B)</f>
        <v>Class 3</v>
      </c>
      <c r="AG74" s="102"/>
      <c r="AH74" s="102">
        <f t="shared" si="37"/>
        <v>652.34056272401904</v>
      </c>
      <c r="AI74" s="44">
        <v>1.4999999999999999E-2</v>
      </c>
      <c r="AJ74" s="15">
        <f>_xlfn.XLOOKUP($AF74,Warranty!B:B,Warranty!E:E)</f>
        <v>1.4999999999999999E-2</v>
      </c>
      <c r="AK74" s="8">
        <f>IF($I74="AUD",VLOOKUP(RIGHT('Wk - Margins'!$G74,3),'AU Freight'!C:G,5,0),0)</f>
        <v>0</v>
      </c>
      <c r="AL74" s="15">
        <f t="shared" si="44"/>
        <v>0</v>
      </c>
      <c r="AM74" s="61">
        <f t="shared" ref="AM74:AM75" si="46">SUM(AG74:AH74)*(1+AI74+AJ74+AL74)+AK74</f>
        <v>671.91077960573944</v>
      </c>
      <c r="AN74" s="63">
        <f t="shared" si="21"/>
        <v>0.3243732733979493</v>
      </c>
      <c r="AQ74" s="147"/>
    </row>
    <row r="75" spans="1:43">
      <c r="A75" s="10" t="str">
        <f>'Input - Bookings'!A75</f>
        <v>10-06</v>
      </c>
      <c r="B75" s="11" t="str">
        <f>'Input - Bookings'!C75</f>
        <v>A</v>
      </c>
      <c r="C75" s="11" t="str">
        <f>'Input - Bookings'!H75</f>
        <v>VN</v>
      </c>
      <c r="D75" s="24" t="str">
        <f>'Input - Bookings'!E75</f>
        <v>065</v>
      </c>
      <c r="E75" s="24" t="str">
        <f>'Input - Bookings'!G75</f>
        <v>MICO MACHINERY &amp;</v>
      </c>
      <c r="F75" s="146" t="str">
        <f>'Input - Bookings'!I75</f>
        <v>H64456</v>
      </c>
      <c r="G75" s="24" t="str">
        <f>'Input - Bookings'!L75</f>
        <v>A6W9</v>
      </c>
      <c r="H75" s="24" t="str">
        <f>'Input - Bookings'!M75</f>
        <v>PC1.5</v>
      </c>
      <c r="I75" s="24" t="str">
        <f>'Input - Bookings'!B75</f>
        <v>USD</v>
      </c>
      <c r="J75" s="13" t="str">
        <f>IF(I75="USD",INDEX('AP Plants'!A:A,MATCH(G75,'AP Plants'!D:D,0)),INDEX('Australia Plants'!A:A,MATCH(G75,'Australia Plants'!D:D,0)))</f>
        <v>Staxx</v>
      </c>
      <c r="K75" s="73">
        <v>1</v>
      </c>
      <c r="L75" s="97">
        <v>1440</v>
      </c>
      <c r="M75" s="97">
        <v>994.5</v>
      </c>
      <c r="N75" s="99">
        <v>0.3243732733979493</v>
      </c>
      <c r="O75" s="25">
        <f t="shared" si="39"/>
        <v>0.30937499999999996</v>
      </c>
      <c r="P75" s="14">
        <f>IFERROR(IF(OR(B75&amp;C75="PAU",B75&amp;C75="AIN"),VLOOKUP(B75&amp;C75&amp;G75,#REF!,8,0),VLOOKUP(B75&amp;G75,#REF!,8,0)),0)</f>
        <v>0</v>
      </c>
      <c r="Q75" s="15">
        <f t="shared" si="34"/>
        <v>0.3243732733979493</v>
      </c>
      <c r="R75" s="16" t="str">
        <f t="shared" si="40"/>
        <v>AOP</v>
      </c>
      <c r="S75" s="17">
        <f t="shared" si="41"/>
        <v>322.58922039426056</v>
      </c>
      <c r="T75" s="18">
        <f t="shared" si="42"/>
        <v>322.58922039426056</v>
      </c>
      <c r="U75" s="23">
        <f t="shared" si="36"/>
        <v>994.5</v>
      </c>
      <c r="Y75" s="8" t="str">
        <f t="shared" si="43"/>
        <v>AVNH64456PC1.5</v>
      </c>
      <c r="Z75" s="8" t="str">
        <f>IF(Y75='Input - Bookings'!Q68,"OK","Check")</f>
        <v>Check</v>
      </c>
      <c r="AA75" s="139"/>
      <c r="AB75" s="103"/>
      <c r="AC75" s="103"/>
      <c r="AD75" s="100">
        <f t="shared" si="38"/>
        <v>652.34056272401904</v>
      </c>
      <c r="AE75" s="100"/>
      <c r="AF75" s="31" t="str">
        <f t="array" ref="AF75">_xlfn.XLOOKUP($G75,'AP Plants'!D:D,'AP Plants'!B:B)</f>
        <v>Class 3</v>
      </c>
      <c r="AG75" s="102"/>
      <c r="AH75" s="102">
        <f t="shared" si="37"/>
        <v>652.34056272401904</v>
      </c>
      <c r="AI75" s="44">
        <v>1.4999999999999999E-2</v>
      </c>
      <c r="AJ75" s="15">
        <f>_xlfn.XLOOKUP($AF75,Warranty!B:B,Warranty!E:E)</f>
        <v>1.4999999999999999E-2</v>
      </c>
      <c r="AK75" s="8">
        <f>IF($I75="AUD",VLOOKUP(RIGHT('Wk - Margins'!$G75,3),'AU Freight'!C:G,5,0),0)</f>
        <v>0</v>
      </c>
      <c r="AL75" s="15">
        <f t="shared" si="44"/>
        <v>0</v>
      </c>
      <c r="AM75" s="61">
        <f t="shared" si="46"/>
        <v>671.91077960573944</v>
      </c>
      <c r="AN75" s="63">
        <f t="shared" ref="AN75" si="47">1-AM75/M75</f>
        <v>0.3243732733979493</v>
      </c>
      <c r="AQ75" s="147"/>
    </row>
    <row r="76" spans="1:43">
      <c r="A76" s="10" t="str">
        <f>'Input - Bookings'!A76</f>
        <v>10-06</v>
      </c>
      <c r="B76" s="11" t="str">
        <f>'Input - Bookings'!C76</f>
        <v>A</v>
      </c>
      <c r="C76" s="11" t="str">
        <f>'Input - Bookings'!H76</f>
        <v>VN</v>
      </c>
      <c r="D76" s="24" t="str">
        <f>'Input - Bookings'!E76</f>
        <v>065</v>
      </c>
      <c r="E76" s="24" t="str">
        <f>'Input - Bookings'!G76</f>
        <v>MICO MACHINERY &amp;</v>
      </c>
      <c r="F76" s="146" t="str">
        <f>'Input - Bookings'!I76</f>
        <v>H64457</v>
      </c>
      <c r="G76" s="24" t="str">
        <f>'Input - Bookings'!L76</f>
        <v>A6W9</v>
      </c>
      <c r="H76" s="24" t="str">
        <f>'Input - Bookings'!M76</f>
        <v>PC1.5</v>
      </c>
      <c r="I76" s="24" t="str">
        <f>'Input - Bookings'!B76</f>
        <v>USD</v>
      </c>
      <c r="J76" s="13" t="str">
        <f>IF(I76="USD",INDEX('AP Plants'!A:A,MATCH(G76,'AP Plants'!D:D,0)),INDEX('Australia Plants'!A:A,MATCH(G76,'Australia Plants'!D:D,0)))</f>
        <v>Staxx</v>
      </c>
      <c r="K76" s="73">
        <v>1</v>
      </c>
      <c r="L76" s="97">
        <v>1440</v>
      </c>
      <c r="M76" s="97">
        <v>994.5</v>
      </c>
      <c r="N76" s="99">
        <v>0.3243732733979493</v>
      </c>
      <c r="O76" s="25">
        <f t="shared" si="39"/>
        <v>0.30937499999999996</v>
      </c>
      <c r="P76" s="14">
        <f>IFERROR(IF(OR(B76&amp;C76="PAU",B76&amp;C76="AIN"),VLOOKUP(B76&amp;C76&amp;G76,#REF!,8,0),VLOOKUP(B76&amp;G76,#REF!,8,0)),0)</f>
        <v>0</v>
      </c>
      <c r="Q76" s="15">
        <f t="shared" si="34"/>
        <v>0.3243732733979493</v>
      </c>
      <c r="R76" s="16" t="str">
        <f t="shared" si="40"/>
        <v>AOP</v>
      </c>
      <c r="S76" s="17">
        <f t="shared" si="41"/>
        <v>322.58922039426056</v>
      </c>
      <c r="T76" s="18">
        <f t="shared" si="42"/>
        <v>322.58922039426056</v>
      </c>
      <c r="U76" s="23">
        <f t="shared" si="36"/>
        <v>994.5</v>
      </c>
      <c r="Y76" s="8" t="str">
        <f t="shared" si="43"/>
        <v>AVNH64457PC1.5</v>
      </c>
      <c r="Z76" s="8" t="str">
        <f>IF(Y76='Input - Bookings'!Q69,"OK","Check")</f>
        <v>Check</v>
      </c>
      <c r="AA76" s="139"/>
      <c r="AB76" s="103"/>
      <c r="AC76" s="103"/>
      <c r="AD76" s="100">
        <f t="shared" si="38"/>
        <v>652.34056272401904</v>
      </c>
      <c r="AE76" s="100"/>
      <c r="AF76" s="8" t="str">
        <f t="array" ref="AF76">_xlfn.XLOOKUP($G76,'AP Plants'!D:D,'AP Plants'!B:B)</f>
        <v>Class 3</v>
      </c>
      <c r="AG76" s="102"/>
      <c r="AH76" s="102">
        <f t="shared" si="37"/>
        <v>652.34056272401904</v>
      </c>
      <c r="AI76" s="44">
        <v>1.4999999999999999E-2</v>
      </c>
      <c r="AJ76" s="15">
        <f>_xlfn.XLOOKUP($AF76,Warranty!B:B,Warranty!E:E)</f>
        <v>1.4999999999999999E-2</v>
      </c>
      <c r="AK76" s="8">
        <f>IF($I76="AUD",VLOOKUP(RIGHT('Wk - Margins'!$G76,3),'AU Freight'!C:G,5,0),0)</f>
        <v>0</v>
      </c>
      <c r="AL76" s="15">
        <f t="shared" si="44"/>
        <v>0</v>
      </c>
      <c r="AM76" s="61">
        <f t="shared" si="45"/>
        <v>671.91077960573944</v>
      </c>
      <c r="AN76" s="63">
        <f t="shared" ref="AN76:AN77" si="48">1-AM76/M76</f>
        <v>0.3243732733979493</v>
      </c>
      <c r="AQ76" s="147"/>
    </row>
    <row r="77" spans="1:43">
      <c r="A77" s="10" t="str">
        <f>'Input - Bookings'!A77</f>
        <v>10-06</v>
      </c>
      <c r="B77" s="11" t="str">
        <f>'Input - Bookings'!C77</f>
        <v>A</v>
      </c>
      <c r="C77" s="11" t="str">
        <f>'Input - Bookings'!H77</f>
        <v>VN</v>
      </c>
      <c r="D77" s="24" t="str">
        <f>'Input - Bookings'!E77</f>
        <v>065</v>
      </c>
      <c r="E77" s="24" t="str">
        <f>'Input - Bookings'!G77</f>
        <v>MICO MACHINERY &amp;</v>
      </c>
      <c r="F77" s="146" t="str">
        <f>'Input - Bookings'!I77</f>
        <v>H64458</v>
      </c>
      <c r="G77" s="24" t="str">
        <f>'Input - Bookings'!L77</f>
        <v>A6W9</v>
      </c>
      <c r="H77" s="24" t="str">
        <f>'Input - Bookings'!M77</f>
        <v>PC1.5</v>
      </c>
      <c r="I77" s="24" t="str">
        <f>'Input - Bookings'!B77</f>
        <v>USD</v>
      </c>
      <c r="J77" s="13" t="str">
        <f>IF(I77="USD",INDEX('AP Plants'!A:A,MATCH(G77,'AP Plants'!D:D,0)),INDEX('Australia Plants'!A:A,MATCH(G77,'Australia Plants'!D:D,0)))</f>
        <v>Staxx</v>
      </c>
      <c r="K77" s="73">
        <v>1</v>
      </c>
      <c r="L77" s="97">
        <v>1440</v>
      </c>
      <c r="M77" s="97">
        <v>994.5</v>
      </c>
      <c r="N77" s="99">
        <v>0.3243732733979493</v>
      </c>
      <c r="O77" s="25">
        <f t="shared" si="39"/>
        <v>0.30937499999999996</v>
      </c>
      <c r="P77" s="14">
        <f>IFERROR(IF(OR(B77&amp;C77="PAU",B77&amp;C77="AIN"),VLOOKUP(B77&amp;C77&amp;G77,#REF!,8,0),VLOOKUP(B77&amp;G77,#REF!,8,0)),0)</f>
        <v>0</v>
      </c>
      <c r="Q77" s="15">
        <f t="shared" si="34"/>
        <v>0.3243732733979493</v>
      </c>
      <c r="R77" s="16" t="str">
        <f t="shared" si="40"/>
        <v>AOP</v>
      </c>
      <c r="S77" s="17">
        <f t="shared" si="41"/>
        <v>322.58922039426056</v>
      </c>
      <c r="T77" s="18">
        <f t="shared" si="42"/>
        <v>322.58922039426056</v>
      </c>
      <c r="U77" s="23">
        <f t="shared" si="36"/>
        <v>994.5</v>
      </c>
      <c r="Y77" s="8" t="str">
        <f t="shared" si="43"/>
        <v>AVNH64458PC1.5</v>
      </c>
      <c r="Z77" s="8" t="str">
        <f>IF(Y77='Input - Bookings'!Q70,"OK","Check")</f>
        <v>Check</v>
      </c>
      <c r="AA77" s="118"/>
      <c r="AB77" s="103"/>
      <c r="AC77" s="103"/>
      <c r="AD77" s="100">
        <f t="shared" si="38"/>
        <v>652.34056272401904</v>
      </c>
      <c r="AE77" s="100"/>
      <c r="AF77" s="8" t="str">
        <f t="array" ref="AF77">_xlfn.XLOOKUP($G77,'AP Plants'!D:D,'AP Plants'!B:B)</f>
        <v>Class 3</v>
      </c>
      <c r="AG77" s="102"/>
      <c r="AH77" s="102">
        <f t="shared" si="37"/>
        <v>652.34056272401904</v>
      </c>
      <c r="AI77" s="44">
        <v>1.4999999999999999E-2</v>
      </c>
      <c r="AJ77" s="15">
        <f>_xlfn.XLOOKUP($AF77,Warranty!B:B,Warranty!E:E)</f>
        <v>1.4999999999999999E-2</v>
      </c>
      <c r="AK77" s="8">
        <f>IF($I77="AUD",VLOOKUP(RIGHT('Wk - Margins'!$G77,3),'AU Freight'!C:G,5,0),0)</f>
        <v>0</v>
      </c>
      <c r="AL77" s="15">
        <f t="shared" si="44"/>
        <v>0</v>
      </c>
      <c r="AM77" s="61">
        <f t="shared" si="45"/>
        <v>671.91077960573944</v>
      </c>
      <c r="AN77" s="63">
        <f t="shared" si="48"/>
        <v>0.3243732733979493</v>
      </c>
      <c r="AQ77" s="147"/>
    </row>
    <row r="78" spans="1:43">
      <c r="A78" s="10" t="str">
        <f>'Input - Bookings'!A78</f>
        <v>10-06</v>
      </c>
      <c r="B78" s="11" t="str">
        <f>'Input - Bookings'!C78</f>
        <v>A</v>
      </c>
      <c r="C78" s="11" t="str">
        <f>'Input - Bookings'!H78</f>
        <v>VN</v>
      </c>
      <c r="D78" s="24" t="str">
        <f>'Input - Bookings'!E78</f>
        <v>065</v>
      </c>
      <c r="E78" s="24" t="str">
        <f>'Input - Bookings'!G78</f>
        <v>MICO MACHINERY &amp;</v>
      </c>
      <c r="F78" s="146" t="str">
        <f>'Input - Bookings'!I78</f>
        <v>H64459</v>
      </c>
      <c r="G78" s="24" t="str">
        <f>'Input - Bookings'!L78</f>
        <v>A6W9</v>
      </c>
      <c r="H78" s="24" t="str">
        <f>'Input - Bookings'!M78</f>
        <v>PC1.5</v>
      </c>
      <c r="I78" s="24" t="str">
        <f>'Input - Bookings'!B78</f>
        <v>USD</v>
      </c>
      <c r="J78" s="13" t="str">
        <f>IF(I78="USD",INDEX('AP Plants'!A:A,MATCH(G78,'AP Plants'!D:D,0)),INDEX('Australia Plants'!A:A,MATCH(G78,'Australia Plants'!D:D,0)))</f>
        <v>Staxx</v>
      </c>
      <c r="K78" s="73">
        <v>1</v>
      </c>
      <c r="L78" s="97">
        <v>1440</v>
      </c>
      <c r="M78" s="97">
        <v>994.5</v>
      </c>
      <c r="N78" s="99">
        <v>0.3243732733979493</v>
      </c>
      <c r="O78" s="25">
        <f t="shared" si="39"/>
        <v>0.30937499999999996</v>
      </c>
      <c r="P78" s="14">
        <f>IFERROR(IF(OR(B78&amp;C78="PAU",B78&amp;C78="AIN"),VLOOKUP(B78&amp;C78&amp;G78,#REF!,8,0),VLOOKUP(B78&amp;G78,#REF!,8,0)),0)</f>
        <v>0</v>
      </c>
      <c r="Q78" s="15">
        <f t="shared" si="34"/>
        <v>0.3243732733979493</v>
      </c>
      <c r="R78" s="16" t="str">
        <f t="shared" si="40"/>
        <v>AOP</v>
      </c>
      <c r="S78" s="17">
        <f t="shared" si="41"/>
        <v>322.58922039426056</v>
      </c>
      <c r="T78" s="18">
        <f t="shared" si="42"/>
        <v>322.58922039426056</v>
      </c>
      <c r="U78" s="23">
        <f t="shared" si="36"/>
        <v>994.5</v>
      </c>
      <c r="Y78" s="8" t="str">
        <f t="shared" si="43"/>
        <v>AVNH64459PC1.5</v>
      </c>
      <c r="Z78" s="8" t="str">
        <f>IF(Y78='Input - Bookings'!Q71,"OK","Check")</f>
        <v>Check</v>
      </c>
      <c r="AA78" s="118"/>
      <c r="AB78" s="103"/>
      <c r="AC78" s="103"/>
      <c r="AD78" s="100">
        <f t="shared" si="38"/>
        <v>652.34056272401904</v>
      </c>
      <c r="AE78" s="100"/>
      <c r="AF78" s="8" t="str">
        <f t="array" ref="AF78">_xlfn.XLOOKUP($G78,'AP Plants'!D:D,'AP Plants'!B:B)</f>
        <v>Class 3</v>
      </c>
      <c r="AG78" s="102"/>
      <c r="AH78" s="102">
        <f t="shared" si="37"/>
        <v>652.34056272401904</v>
      </c>
      <c r="AI78" s="44">
        <v>1.4999999999999999E-2</v>
      </c>
      <c r="AJ78" s="15">
        <f>_xlfn.XLOOKUP($AF78,Warranty!B:B,Warranty!E:E)</f>
        <v>1.4999999999999999E-2</v>
      </c>
      <c r="AK78" s="8">
        <f>IF($I78="AUD",VLOOKUP(RIGHT('Wk - Margins'!$G78,3),'AU Freight'!C:G,5,0),0)</f>
        <v>0</v>
      </c>
      <c r="AL78" s="15">
        <f t="shared" si="44"/>
        <v>0</v>
      </c>
      <c r="AM78" s="61">
        <f t="shared" si="45"/>
        <v>671.91077960573944</v>
      </c>
      <c r="AN78" s="63">
        <f t="shared" ref="AN78:AN136" si="49">1-AM78/M78</f>
        <v>0.3243732733979493</v>
      </c>
      <c r="AQ78" s="147"/>
    </row>
    <row r="79" spans="1:43">
      <c r="A79" s="10" t="str">
        <f>'Input - Bookings'!A79</f>
        <v>10-06</v>
      </c>
      <c r="B79" s="11" t="str">
        <f>'Input - Bookings'!C79</f>
        <v>A</v>
      </c>
      <c r="C79" s="11" t="str">
        <f>'Input - Bookings'!H79</f>
        <v>VN</v>
      </c>
      <c r="D79" s="24" t="str">
        <f>'Input - Bookings'!E79</f>
        <v>065</v>
      </c>
      <c r="E79" s="24" t="str">
        <f>'Input - Bookings'!G79</f>
        <v>MICO MACHINERY &amp;</v>
      </c>
      <c r="F79" s="146" t="str">
        <f>'Input - Bookings'!I79</f>
        <v>H64460</v>
      </c>
      <c r="G79" s="24" t="str">
        <f>'Input - Bookings'!L79</f>
        <v>A6W9</v>
      </c>
      <c r="H79" s="24" t="str">
        <f>'Input - Bookings'!M79</f>
        <v>PC1.5</v>
      </c>
      <c r="I79" s="24" t="str">
        <f>'Input - Bookings'!B79</f>
        <v>USD</v>
      </c>
      <c r="J79" s="13" t="str">
        <f>IF(I79="USD",INDEX('AP Plants'!A:A,MATCH(G79,'AP Plants'!D:D,0)),INDEX('Australia Plants'!A:A,MATCH(G79,'Australia Plants'!D:D,0)))</f>
        <v>Staxx</v>
      </c>
      <c r="K79" s="73">
        <v>1</v>
      </c>
      <c r="L79" s="97">
        <v>1440</v>
      </c>
      <c r="M79" s="97">
        <v>994.5</v>
      </c>
      <c r="N79" s="99">
        <v>0.3243732733979493</v>
      </c>
      <c r="O79" s="25">
        <f t="shared" si="39"/>
        <v>0.30937499999999996</v>
      </c>
      <c r="P79" s="14">
        <f>IFERROR(IF(OR(B79&amp;C79="PAU",B79&amp;C79="AIN"),VLOOKUP(B79&amp;C79&amp;G79,#REF!,8,0),VLOOKUP(B79&amp;G79,#REF!,8,0)),0)</f>
        <v>0</v>
      </c>
      <c r="Q79" s="15">
        <f t="shared" si="34"/>
        <v>0.3243732733979493</v>
      </c>
      <c r="R79" s="16" t="str">
        <f t="shared" si="40"/>
        <v>AOP</v>
      </c>
      <c r="S79" s="17">
        <f t="shared" si="41"/>
        <v>322.58922039426056</v>
      </c>
      <c r="T79" s="18">
        <f t="shared" si="42"/>
        <v>322.58922039426056</v>
      </c>
      <c r="U79" s="23">
        <f t="shared" si="36"/>
        <v>994.5</v>
      </c>
      <c r="Y79" s="8" t="str">
        <f t="shared" si="43"/>
        <v>AVNH64460PC1.5</v>
      </c>
      <c r="Z79" s="8" t="str">
        <f>IF(Y79='Input - Bookings'!Q72,"OK","Check")</f>
        <v>Check</v>
      </c>
      <c r="AA79" s="118"/>
      <c r="AB79" s="103"/>
      <c r="AC79" s="103"/>
      <c r="AD79" s="100">
        <f t="shared" si="38"/>
        <v>652.34056272401904</v>
      </c>
      <c r="AE79" s="100"/>
      <c r="AF79" s="8" t="str">
        <f t="array" ref="AF79">_xlfn.XLOOKUP($G79,'AP Plants'!D:D,'AP Plants'!B:B)</f>
        <v>Class 3</v>
      </c>
      <c r="AG79" s="102"/>
      <c r="AH79" s="102">
        <f t="shared" si="37"/>
        <v>652.34056272401904</v>
      </c>
      <c r="AI79" s="44">
        <v>1.4999999999999999E-2</v>
      </c>
      <c r="AJ79" s="15">
        <f>_xlfn.XLOOKUP($AF79,Warranty!B:B,Warranty!E:E)</f>
        <v>1.4999999999999999E-2</v>
      </c>
      <c r="AK79" s="8">
        <f>IF($I79="AUD",VLOOKUP(RIGHT('Wk - Margins'!$G79,3),'AU Freight'!C:G,5,0),0)</f>
        <v>0</v>
      </c>
      <c r="AL79" s="15">
        <f t="shared" si="44"/>
        <v>0</v>
      </c>
      <c r="AM79" s="61">
        <f t="shared" si="45"/>
        <v>671.91077960573944</v>
      </c>
      <c r="AN79" s="63">
        <f t="shared" si="49"/>
        <v>0.3243732733979493</v>
      </c>
      <c r="AQ79" s="147"/>
    </row>
    <row r="80" spans="1:43">
      <c r="A80" s="10" t="str">
        <f>'Input - Bookings'!A80</f>
        <v>10-06</v>
      </c>
      <c r="B80" s="11" t="str">
        <f>'Input - Bookings'!C80</f>
        <v>A</v>
      </c>
      <c r="C80" s="11" t="str">
        <f>'Input - Bookings'!H80</f>
        <v>VN</v>
      </c>
      <c r="D80" s="24" t="str">
        <f>'Input - Bookings'!E80</f>
        <v>065</v>
      </c>
      <c r="E80" s="24" t="str">
        <f>'Input - Bookings'!G80</f>
        <v>MICO MACHINERY &amp;</v>
      </c>
      <c r="F80" s="146" t="str">
        <f>'Input - Bookings'!I80</f>
        <v>H64461</v>
      </c>
      <c r="G80" s="24" t="str">
        <f>'Input - Bookings'!L80</f>
        <v>A6W9</v>
      </c>
      <c r="H80" s="24" t="str">
        <f>'Input - Bookings'!M80</f>
        <v>PC1.5</v>
      </c>
      <c r="I80" s="24" t="str">
        <f>'Input - Bookings'!B80</f>
        <v>USD</v>
      </c>
      <c r="J80" s="13" t="str">
        <f>IF(I80="USD",INDEX('AP Plants'!A:A,MATCH(G80,'AP Plants'!D:D,0)),INDEX('Australia Plants'!A:A,MATCH(G80,'Australia Plants'!D:D,0)))</f>
        <v>Staxx</v>
      </c>
      <c r="K80" s="73">
        <v>1</v>
      </c>
      <c r="L80" s="97">
        <v>1440</v>
      </c>
      <c r="M80" s="97">
        <v>994.5</v>
      </c>
      <c r="N80" s="99">
        <v>0.3243732733979493</v>
      </c>
      <c r="O80" s="25">
        <f t="shared" si="39"/>
        <v>0.30937499999999996</v>
      </c>
      <c r="P80" s="14">
        <f>IFERROR(IF(OR(B80&amp;C80="PAU",B80&amp;C80="AIN"),VLOOKUP(B80&amp;C80&amp;G80,#REF!,8,0),VLOOKUP(B80&amp;G80,#REF!,8,0)),0)</f>
        <v>0</v>
      </c>
      <c r="Q80" s="15">
        <f t="shared" si="34"/>
        <v>0.3243732733979493</v>
      </c>
      <c r="R80" s="16" t="str">
        <f t="shared" si="40"/>
        <v>AOP</v>
      </c>
      <c r="S80" s="17">
        <f t="shared" si="41"/>
        <v>322.58922039426056</v>
      </c>
      <c r="T80" s="18">
        <f t="shared" si="42"/>
        <v>322.58922039426056</v>
      </c>
      <c r="U80" s="23">
        <f t="shared" si="36"/>
        <v>994.5</v>
      </c>
      <c r="Y80" s="8" t="str">
        <f t="shared" si="43"/>
        <v>AVNH64461PC1.5</v>
      </c>
      <c r="Z80" s="8" t="str">
        <f>IF(Y80='Input - Bookings'!Q73,"OK","Check")</f>
        <v>Check</v>
      </c>
      <c r="AA80" s="139"/>
      <c r="AB80" s="103"/>
      <c r="AC80" s="103"/>
      <c r="AD80" s="100">
        <f t="shared" si="38"/>
        <v>652.34056272401904</v>
      </c>
      <c r="AE80" s="110"/>
      <c r="AF80" s="8" t="str">
        <f t="array" ref="AF80">_xlfn.XLOOKUP($G80,'AP Plants'!D:D,'AP Plants'!B:B)</f>
        <v>Class 3</v>
      </c>
      <c r="AG80" s="102"/>
      <c r="AH80" s="102">
        <f t="shared" si="37"/>
        <v>652.34056272401904</v>
      </c>
      <c r="AI80" s="44">
        <v>1.4999999999999999E-2</v>
      </c>
      <c r="AJ80" s="15">
        <f>_xlfn.XLOOKUP($AF80,Warranty!B:B,Warranty!E:E)</f>
        <v>1.4999999999999999E-2</v>
      </c>
      <c r="AK80" s="8">
        <f>IF($I80="AUD",VLOOKUP(RIGHT('Wk - Margins'!$G80,3),'AU Freight'!C:G,5,0),0)</f>
        <v>0</v>
      </c>
      <c r="AL80" s="15">
        <f t="shared" si="44"/>
        <v>0</v>
      </c>
      <c r="AM80" s="61">
        <f t="shared" si="45"/>
        <v>671.91077960573944</v>
      </c>
      <c r="AN80" s="63">
        <f t="shared" si="49"/>
        <v>0.3243732733979493</v>
      </c>
      <c r="AQ80" s="147"/>
    </row>
    <row r="81" spans="1:43">
      <c r="A81" s="10" t="str">
        <f>'Input - Bookings'!A81</f>
        <v>10-06</v>
      </c>
      <c r="B81" s="11" t="str">
        <f>'Input - Bookings'!C81</f>
        <v>A</v>
      </c>
      <c r="C81" s="11" t="str">
        <f>'Input - Bookings'!H81</f>
        <v>VN</v>
      </c>
      <c r="D81" s="24" t="str">
        <f>'Input - Bookings'!E81</f>
        <v>065</v>
      </c>
      <c r="E81" s="24" t="str">
        <f>'Input - Bookings'!G81</f>
        <v>MICO MACHINERY &amp;</v>
      </c>
      <c r="F81" s="146" t="str">
        <f>'Input - Bookings'!I81</f>
        <v>H64462</v>
      </c>
      <c r="G81" s="24" t="str">
        <f>'Input - Bookings'!L81</f>
        <v>A6W9</v>
      </c>
      <c r="H81" s="24" t="str">
        <f>'Input - Bookings'!M81</f>
        <v>PC1.5</v>
      </c>
      <c r="I81" s="24" t="str">
        <f>'Input - Bookings'!B81</f>
        <v>USD</v>
      </c>
      <c r="J81" s="13" t="str">
        <f>IF(I81="USD",INDEX('AP Plants'!A:A,MATCH(G81,'AP Plants'!D:D,0)),INDEX('Australia Plants'!A:A,MATCH(G81,'Australia Plants'!D:D,0)))</f>
        <v>Staxx</v>
      </c>
      <c r="K81" s="73">
        <v>1</v>
      </c>
      <c r="L81" s="97">
        <v>1440</v>
      </c>
      <c r="M81" s="97">
        <v>994.5</v>
      </c>
      <c r="N81" s="99">
        <v>0.3243732733979493</v>
      </c>
      <c r="O81" s="25">
        <f t="shared" si="39"/>
        <v>0.30937499999999996</v>
      </c>
      <c r="P81" s="14">
        <f>IFERROR(IF(OR(B81&amp;C81="PAU",B81&amp;C81="AIN"),VLOOKUP(B81&amp;C81&amp;G81,#REF!,8,0),VLOOKUP(B81&amp;G81,#REF!,8,0)),0)</f>
        <v>0</v>
      </c>
      <c r="Q81" s="15">
        <f t="shared" si="34"/>
        <v>0.3243732733979493</v>
      </c>
      <c r="R81" s="16" t="str">
        <f t="shared" si="40"/>
        <v>AOP</v>
      </c>
      <c r="S81" s="17">
        <f t="shared" si="41"/>
        <v>322.58922039426056</v>
      </c>
      <c r="T81" s="18">
        <f t="shared" si="42"/>
        <v>322.58922039426056</v>
      </c>
      <c r="U81" s="23">
        <f t="shared" si="36"/>
        <v>994.5</v>
      </c>
      <c r="Y81" s="8" t="str">
        <f t="shared" si="43"/>
        <v>AVNH64462PC1.5</v>
      </c>
      <c r="Z81" s="8" t="str">
        <f>IF(Y81='Input - Bookings'!Q74,"OK","Check")</f>
        <v>Check</v>
      </c>
      <c r="AA81" s="118"/>
      <c r="AB81" s="103"/>
      <c r="AC81" s="103"/>
      <c r="AD81" s="100">
        <f t="shared" si="38"/>
        <v>652.34056272401904</v>
      </c>
      <c r="AE81" s="110"/>
      <c r="AF81" s="8" t="str">
        <f t="array" ref="AF81">_xlfn.XLOOKUP($G81,'AP Plants'!D:D,'AP Plants'!B:B)</f>
        <v>Class 3</v>
      </c>
      <c r="AG81" s="102"/>
      <c r="AH81" s="102">
        <f t="shared" si="37"/>
        <v>652.34056272401904</v>
      </c>
      <c r="AI81" s="44">
        <v>1.4999999999999999E-2</v>
      </c>
      <c r="AJ81" s="15">
        <f>_xlfn.XLOOKUP($AF81,Warranty!B:B,Warranty!E:E)</f>
        <v>1.4999999999999999E-2</v>
      </c>
      <c r="AK81" s="8">
        <f>IF($I81="AUD",VLOOKUP(RIGHT('Wk - Margins'!$G81,3),'AU Freight'!C:G,5,0),0)</f>
        <v>0</v>
      </c>
      <c r="AL81" s="15">
        <f t="shared" si="44"/>
        <v>0</v>
      </c>
      <c r="AM81" s="61">
        <f t="shared" si="45"/>
        <v>671.91077960573944</v>
      </c>
      <c r="AN81" s="63">
        <f t="shared" si="49"/>
        <v>0.3243732733979493</v>
      </c>
      <c r="AQ81" s="147"/>
    </row>
    <row r="82" spans="1:43">
      <c r="A82" s="10" t="str">
        <f>'Input - Bookings'!A82</f>
        <v>10-06</v>
      </c>
      <c r="B82" s="11" t="str">
        <f>'Input - Bookings'!C82</f>
        <v>A</v>
      </c>
      <c r="C82" s="11" t="str">
        <f>'Input - Bookings'!H82</f>
        <v>VN</v>
      </c>
      <c r="D82" s="24" t="str">
        <f>'Input - Bookings'!E82</f>
        <v>065</v>
      </c>
      <c r="E82" s="24" t="str">
        <f>'Input - Bookings'!G82</f>
        <v>MICO MACHINERY &amp;</v>
      </c>
      <c r="F82" s="146" t="str">
        <f>'Input - Bookings'!I82</f>
        <v>H64463</v>
      </c>
      <c r="G82" s="24" t="str">
        <f>'Input - Bookings'!L82</f>
        <v>A6W9</v>
      </c>
      <c r="H82" s="24" t="str">
        <f>'Input - Bookings'!M82</f>
        <v>PC1.5</v>
      </c>
      <c r="I82" s="24" t="str">
        <f>'Input - Bookings'!B82</f>
        <v>USD</v>
      </c>
      <c r="J82" s="13" t="str">
        <f>IF(I82="USD",INDEX('AP Plants'!A:A,MATCH(G82,'AP Plants'!D:D,0)),INDEX('Australia Plants'!A:A,MATCH(G82,'Australia Plants'!D:D,0)))</f>
        <v>Staxx</v>
      </c>
      <c r="K82" s="73">
        <v>1</v>
      </c>
      <c r="L82" s="97">
        <v>1440</v>
      </c>
      <c r="M82" s="97">
        <v>994.5</v>
      </c>
      <c r="N82" s="99">
        <v>0.3243732733979493</v>
      </c>
      <c r="O82" s="25">
        <f t="shared" si="39"/>
        <v>0.30937499999999996</v>
      </c>
      <c r="P82" s="14">
        <f>IFERROR(IF(OR(B82&amp;C82="PAU",B82&amp;C82="AIN"),VLOOKUP(B82&amp;C82&amp;G82,#REF!,8,0),VLOOKUP(B82&amp;G82,#REF!,8,0)),0)</f>
        <v>0</v>
      </c>
      <c r="Q82" s="15">
        <f t="shared" si="34"/>
        <v>0.3243732733979493</v>
      </c>
      <c r="R82" s="16" t="str">
        <f t="shared" si="40"/>
        <v>AOP</v>
      </c>
      <c r="S82" s="17">
        <f t="shared" si="41"/>
        <v>322.58922039426056</v>
      </c>
      <c r="T82" s="18">
        <f t="shared" si="42"/>
        <v>322.58922039426056</v>
      </c>
      <c r="U82" s="23">
        <f t="shared" si="36"/>
        <v>994.5</v>
      </c>
      <c r="Y82" s="8" t="str">
        <f t="shared" si="43"/>
        <v>AVNH64463PC1.5</v>
      </c>
      <c r="Z82" s="8" t="str">
        <f>IF(Y82='Input - Bookings'!D75,"OK","Check")</f>
        <v>Check</v>
      </c>
      <c r="AA82" s="139"/>
      <c r="AB82" s="103"/>
      <c r="AC82" s="103"/>
      <c r="AD82" s="100">
        <f t="shared" si="38"/>
        <v>652.34056272401904</v>
      </c>
      <c r="AE82" s="110"/>
      <c r="AF82" s="8" t="str">
        <f t="array" ref="AF82">_xlfn.XLOOKUP($G82,'AP Plants'!D:D,'AP Plants'!B:B)</f>
        <v>Class 3</v>
      </c>
      <c r="AG82" s="102"/>
      <c r="AH82" s="102">
        <f t="shared" si="37"/>
        <v>652.34056272401904</v>
      </c>
      <c r="AI82" s="44">
        <v>1.4999999999999999E-2</v>
      </c>
      <c r="AJ82" s="15">
        <f>_xlfn.XLOOKUP($AF82,Warranty!B:B,Warranty!E:E)</f>
        <v>1.4999999999999999E-2</v>
      </c>
      <c r="AK82" s="8">
        <f>IF($I82="AUD",VLOOKUP(RIGHT('Wk - Margins'!$G82,3),'AU Freight'!C:G,5,0),0)</f>
        <v>0</v>
      </c>
      <c r="AL82" s="15">
        <f t="shared" si="44"/>
        <v>0</v>
      </c>
      <c r="AM82" s="61">
        <f t="shared" si="45"/>
        <v>671.91077960573944</v>
      </c>
      <c r="AN82" s="63">
        <f t="shared" si="49"/>
        <v>0.3243732733979493</v>
      </c>
      <c r="AQ82" s="147"/>
    </row>
    <row r="83" spans="1:43">
      <c r="A83" s="10" t="str">
        <f>'Input - Bookings'!A83</f>
        <v>10-06</v>
      </c>
      <c r="B83" s="11" t="str">
        <f>'Input - Bookings'!C83</f>
        <v>A</v>
      </c>
      <c r="C83" s="11" t="str">
        <f>'Input - Bookings'!H83</f>
        <v>VN</v>
      </c>
      <c r="D83" s="24" t="str">
        <f>'Input - Bookings'!E83</f>
        <v>065</v>
      </c>
      <c r="E83" s="24" t="str">
        <f>'Input - Bookings'!G83</f>
        <v>MICO MACHINERY &amp;</v>
      </c>
      <c r="F83" s="146" t="str">
        <f>'Input - Bookings'!I83</f>
        <v>H64464</v>
      </c>
      <c r="G83" s="24" t="str">
        <f>'Input - Bookings'!L83</f>
        <v>A6W9</v>
      </c>
      <c r="H83" s="24" t="str">
        <f>'Input - Bookings'!M83</f>
        <v>PC1.5</v>
      </c>
      <c r="I83" s="24" t="str">
        <f>'Input - Bookings'!B83</f>
        <v>USD</v>
      </c>
      <c r="J83" s="13" t="str">
        <f>IF(I83="USD",INDEX('AP Plants'!A:A,MATCH(G83,'AP Plants'!D:D,0)),INDEX('Australia Plants'!A:A,MATCH(G83,'Australia Plants'!D:D,0)))</f>
        <v>Staxx</v>
      </c>
      <c r="K83" s="73">
        <v>1</v>
      </c>
      <c r="L83" s="97">
        <v>1440</v>
      </c>
      <c r="M83" s="97">
        <v>994.5</v>
      </c>
      <c r="N83" s="99">
        <v>0.3243732733979493</v>
      </c>
      <c r="O83" s="25">
        <f t="shared" si="39"/>
        <v>0.30937499999999996</v>
      </c>
      <c r="P83" s="14">
        <f>IFERROR(IF(OR(B83&amp;C83="PAU",B83&amp;C83="AIN"),VLOOKUP(B83&amp;C83&amp;G83,#REF!,8,0),VLOOKUP(B83&amp;G83,#REF!,8,0)),0)</f>
        <v>0</v>
      </c>
      <c r="Q83" s="15">
        <f t="shared" si="34"/>
        <v>0.3243732733979493</v>
      </c>
      <c r="R83" s="16" t="str">
        <f t="shared" si="40"/>
        <v>AOP</v>
      </c>
      <c r="S83" s="17">
        <f t="shared" si="41"/>
        <v>322.58922039426056</v>
      </c>
      <c r="T83" s="18">
        <f t="shared" si="42"/>
        <v>322.58922039426056</v>
      </c>
      <c r="U83" s="23">
        <f t="shared" si="36"/>
        <v>994.5</v>
      </c>
      <c r="Y83" s="8" t="str">
        <f t="shared" si="43"/>
        <v>AVNH64464PC1.5</v>
      </c>
      <c r="Z83" s="8" t="str">
        <f>IF(Y83='Input - Bookings'!D76,"OK","Check")</f>
        <v>Check</v>
      </c>
      <c r="AA83" s="139"/>
      <c r="AB83" s="103"/>
      <c r="AC83" s="103"/>
      <c r="AD83" s="100">
        <f t="shared" si="38"/>
        <v>652.34056272401904</v>
      </c>
      <c r="AE83" s="100"/>
      <c r="AF83" s="8" t="str">
        <f t="array" ref="AF83">_xlfn.XLOOKUP($G83,'AP Plants'!D:D,'AP Plants'!B:B)</f>
        <v>Class 3</v>
      </c>
      <c r="AG83" s="102"/>
      <c r="AH83" s="102">
        <f t="shared" si="37"/>
        <v>652.34056272401904</v>
      </c>
      <c r="AI83" s="44">
        <v>1.4999999999999999E-2</v>
      </c>
      <c r="AJ83" s="15">
        <f>_xlfn.XLOOKUP($AF83,Warranty!B:B,Warranty!E:E)</f>
        <v>1.4999999999999999E-2</v>
      </c>
      <c r="AK83" s="8">
        <f>IF($I83="AUD",VLOOKUP(RIGHT('Wk - Margins'!$G83,3),'AU Freight'!C:G,5,0),0)</f>
        <v>0</v>
      </c>
      <c r="AL83" s="15">
        <f t="shared" si="44"/>
        <v>0</v>
      </c>
      <c r="AM83" s="61">
        <f t="shared" si="45"/>
        <v>671.91077960573944</v>
      </c>
      <c r="AN83" s="63">
        <f t="shared" si="49"/>
        <v>0.3243732733979493</v>
      </c>
      <c r="AQ83" s="147"/>
    </row>
    <row r="84" spans="1:43">
      <c r="A84" s="10" t="str">
        <f>'Input - Bookings'!A84</f>
        <v>10-06</v>
      </c>
      <c r="B84" s="11" t="str">
        <f>'Input - Bookings'!C84</f>
        <v>A</v>
      </c>
      <c r="C84" s="11" t="str">
        <f>'Input - Bookings'!H84</f>
        <v>VN</v>
      </c>
      <c r="D84" s="24" t="str">
        <f>'Input - Bookings'!E84</f>
        <v>065</v>
      </c>
      <c r="E84" s="24" t="str">
        <f>'Input - Bookings'!G84</f>
        <v>MICO MACHINERY &amp;</v>
      </c>
      <c r="F84" s="146" t="str">
        <f>'Input - Bookings'!I84</f>
        <v>H64465</v>
      </c>
      <c r="G84" s="24" t="str">
        <f>'Input - Bookings'!L84</f>
        <v>A6W9</v>
      </c>
      <c r="H84" s="24" t="str">
        <f>'Input - Bookings'!M84</f>
        <v>PC1.5</v>
      </c>
      <c r="I84" s="24" t="str">
        <f>'Input - Bookings'!B84</f>
        <v>USD</v>
      </c>
      <c r="J84" s="13" t="str">
        <f>IF(I84="USD",INDEX('AP Plants'!A:A,MATCH(G84,'AP Plants'!D:D,0)),INDEX('Australia Plants'!A:A,MATCH(G84,'Australia Plants'!D:D,0)))</f>
        <v>Staxx</v>
      </c>
      <c r="K84" s="73">
        <v>1</v>
      </c>
      <c r="L84" s="97">
        <v>1440</v>
      </c>
      <c r="M84" s="97">
        <v>994.5</v>
      </c>
      <c r="N84" s="99">
        <v>0.3243732733979493</v>
      </c>
      <c r="O84" s="25">
        <f t="shared" si="39"/>
        <v>0.30937499999999996</v>
      </c>
      <c r="P84" s="14">
        <f>IFERROR(IF(OR(B84&amp;C84="PAU",B84&amp;C84="AIN"),VLOOKUP(B84&amp;C84&amp;G84,#REF!,8,0),VLOOKUP(B84&amp;G84,#REF!,8,0)),0)</f>
        <v>0</v>
      </c>
      <c r="Q84" s="15">
        <f t="shared" si="34"/>
        <v>0.3243732733979493</v>
      </c>
      <c r="R84" s="16" t="str">
        <f t="shared" si="40"/>
        <v>AOP</v>
      </c>
      <c r="S84" s="17">
        <f t="shared" si="41"/>
        <v>322.58922039426056</v>
      </c>
      <c r="T84" s="18">
        <f t="shared" si="42"/>
        <v>322.58922039426056</v>
      </c>
      <c r="U84" s="23">
        <f t="shared" si="36"/>
        <v>994.5</v>
      </c>
      <c r="Y84" s="8" t="str">
        <f t="shared" si="43"/>
        <v>AVNH64465PC1.5</v>
      </c>
      <c r="Z84" s="8" t="str">
        <f>IF(Y84='Input - Bookings'!D77,"OK","Check")</f>
        <v>Check</v>
      </c>
      <c r="AA84" s="139"/>
      <c r="AB84" s="103"/>
      <c r="AC84" s="103"/>
      <c r="AD84" s="100">
        <f t="shared" si="38"/>
        <v>652.34056272401904</v>
      </c>
      <c r="AE84" s="98"/>
      <c r="AF84" s="8" t="str">
        <f t="array" ref="AF84">_xlfn.XLOOKUP($G84,'AP Plants'!D:D,'AP Plants'!B:B)</f>
        <v>Class 3</v>
      </c>
      <c r="AG84" s="102"/>
      <c r="AH84" s="102">
        <f t="shared" si="37"/>
        <v>652.34056272401904</v>
      </c>
      <c r="AI84" s="44">
        <v>1.4999999999999999E-2</v>
      </c>
      <c r="AJ84" s="15">
        <f>_xlfn.XLOOKUP($AF84,Warranty!B:B,Warranty!E:E)</f>
        <v>1.4999999999999999E-2</v>
      </c>
      <c r="AK84" s="8">
        <f>IF($I84="AUD",VLOOKUP(RIGHT('Wk - Margins'!$G84,3),'AU Freight'!C:G,5,0),0)</f>
        <v>0</v>
      </c>
      <c r="AL84" s="15">
        <f t="shared" si="44"/>
        <v>0</v>
      </c>
      <c r="AM84" s="61">
        <f t="shared" si="45"/>
        <v>671.91077960573944</v>
      </c>
      <c r="AN84" s="63">
        <f t="shared" si="49"/>
        <v>0.3243732733979493</v>
      </c>
      <c r="AQ84" s="147"/>
    </row>
    <row r="85" spans="1:43">
      <c r="A85" s="10" t="str">
        <f>'Input - Bookings'!A85</f>
        <v>10-06</v>
      </c>
      <c r="B85" s="11" t="str">
        <f>'Input - Bookings'!C85</f>
        <v>A</v>
      </c>
      <c r="C85" s="11" t="str">
        <f>'Input - Bookings'!H85</f>
        <v>VN</v>
      </c>
      <c r="D85" s="24" t="str">
        <f>'Input - Bookings'!E85</f>
        <v>065</v>
      </c>
      <c r="E85" s="24" t="str">
        <f>'Input - Bookings'!G85</f>
        <v>MICO MACHINERY &amp;</v>
      </c>
      <c r="F85" s="146" t="str">
        <f>'Input - Bookings'!I85</f>
        <v>H64466</v>
      </c>
      <c r="G85" s="24" t="str">
        <f>'Input - Bookings'!L85</f>
        <v>A6W9</v>
      </c>
      <c r="H85" s="24" t="str">
        <f>'Input - Bookings'!M85</f>
        <v>PC1.5</v>
      </c>
      <c r="I85" s="24" t="str">
        <f>'Input - Bookings'!B85</f>
        <v>USD</v>
      </c>
      <c r="J85" s="13" t="str">
        <f>IF(I85="USD",INDEX('AP Plants'!A:A,MATCH(G85,'AP Plants'!D:D,0)),INDEX('Australia Plants'!A:A,MATCH(G85,'Australia Plants'!D:D,0)))</f>
        <v>Staxx</v>
      </c>
      <c r="K85" s="73">
        <v>1</v>
      </c>
      <c r="L85" s="97">
        <v>1440</v>
      </c>
      <c r="M85" s="97">
        <v>994.5</v>
      </c>
      <c r="N85" s="99">
        <v>0.3243732733979493</v>
      </c>
      <c r="O85" s="25">
        <f t="shared" si="39"/>
        <v>0.30937499999999996</v>
      </c>
      <c r="P85" s="14">
        <f>IFERROR(IF(OR(B85&amp;C85="PAU",B85&amp;C85="AIN"),VLOOKUP(B85&amp;C85&amp;G85,#REF!,8,0),VLOOKUP(B85&amp;G85,#REF!,8,0)),0)</f>
        <v>0</v>
      </c>
      <c r="Q85" s="15">
        <f t="shared" si="34"/>
        <v>0.3243732733979493</v>
      </c>
      <c r="R85" s="16" t="str">
        <f t="shared" si="40"/>
        <v>AOP</v>
      </c>
      <c r="S85" s="17">
        <f t="shared" si="41"/>
        <v>322.58922039426056</v>
      </c>
      <c r="T85" s="18">
        <f t="shared" si="42"/>
        <v>322.58922039426056</v>
      </c>
      <c r="U85" s="23">
        <f t="shared" si="36"/>
        <v>994.5</v>
      </c>
      <c r="Y85" s="8" t="str">
        <f t="shared" si="43"/>
        <v>AVNH64466PC1.5</v>
      </c>
      <c r="Z85" s="8" t="str">
        <f>IF(Y85='Input - Bookings'!D78,"OK","Check")</f>
        <v>Check</v>
      </c>
      <c r="AA85" s="118"/>
      <c r="AB85" s="103"/>
      <c r="AC85" s="103"/>
      <c r="AD85" s="100">
        <f t="shared" si="38"/>
        <v>652.34056272401904</v>
      </c>
      <c r="AE85" s="98"/>
      <c r="AF85" s="8" t="str">
        <f t="array" ref="AF85">_xlfn.XLOOKUP($G85,'AP Plants'!D:D,'AP Plants'!B:B)</f>
        <v>Class 3</v>
      </c>
      <c r="AG85" s="102"/>
      <c r="AH85" s="102">
        <f t="shared" si="37"/>
        <v>652.34056272401904</v>
      </c>
      <c r="AI85" s="44">
        <v>1.4999999999999999E-2</v>
      </c>
      <c r="AJ85" s="15">
        <f>_xlfn.XLOOKUP($AF85,Warranty!B:B,Warranty!E:E)</f>
        <v>1.4999999999999999E-2</v>
      </c>
      <c r="AK85" s="8">
        <f>IF($I85="AUD",VLOOKUP(RIGHT('Wk - Margins'!$G85,3),'AU Freight'!C:G,5,0),0)</f>
        <v>0</v>
      </c>
      <c r="AL85" s="15">
        <f t="shared" si="44"/>
        <v>0</v>
      </c>
      <c r="AM85" s="61">
        <f t="shared" si="45"/>
        <v>671.91077960573944</v>
      </c>
      <c r="AN85" s="63">
        <f t="shared" si="49"/>
        <v>0.3243732733979493</v>
      </c>
      <c r="AQ85" s="147"/>
    </row>
    <row r="86" spans="1:43">
      <c r="A86" s="10" t="str">
        <f>'Input - Bookings'!A86</f>
        <v>10-06</v>
      </c>
      <c r="B86" s="11" t="str">
        <f>'Input - Bookings'!C86</f>
        <v>A</v>
      </c>
      <c r="C86" s="11" t="str">
        <f>'Input - Bookings'!H86</f>
        <v>VN</v>
      </c>
      <c r="D86" s="24" t="str">
        <f>'Input - Bookings'!E86</f>
        <v>065</v>
      </c>
      <c r="E86" s="24" t="str">
        <f>'Input - Bookings'!G86</f>
        <v>MICO MACHINERY &amp;</v>
      </c>
      <c r="F86" s="146" t="str">
        <f>'Input - Bookings'!I86</f>
        <v>H64467</v>
      </c>
      <c r="G86" s="24" t="str">
        <f>'Input - Bookings'!L86</f>
        <v>A6W9</v>
      </c>
      <c r="H86" s="24" t="str">
        <f>'Input - Bookings'!M86</f>
        <v>PC1.5</v>
      </c>
      <c r="I86" s="24" t="str">
        <f>'Input - Bookings'!B86</f>
        <v>USD</v>
      </c>
      <c r="J86" s="13" t="str">
        <f>IF(I86="USD",INDEX('AP Plants'!A:A,MATCH(G86,'AP Plants'!D:D,0)),INDEX('Australia Plants'!A:A,MATCH(G86,'Australia Plants'!D:D,0)))</f>
        <v>Staxx</v>
      </c>
      <c r="K86" s="73">
        <v>1</v>
      </c>
      <c r="L86" s="97">
        <v>1440</v>
      </c>
      <c r="M86" s="97">
        <v>994.5</v>
      </c>
      <c r="N86" s="99">
        <v>0.3243732733979493</v>
      </c>
      <c r="O86" s="25">
        <f t="shared" si="39"/>
        <v>0.30937499999999996</v>
      </c>
      <c r="P86" s="14">
        <f>IFERROR(IF(OR(B86&amp;C86="PAU",B86&amp;C86="AIN"),VLOOKUP(B86&amp;C86&amp;G86,#REF!,8,0),VLOOKUP(B86&amp;G86,#REF!,8,0)),0)</f>
        <v>0</v>
      </c>
      <c r="Q86" s="15">
        <f t="shared" si="34"/>
        <v>0.3243732733979493</v>
      </c>
      <c r="R86" s="16" t="str">
        <f t="shared" si="40"/>
        <v>AOP</v>
      </c>
      <c r="S86" s="17">
        <f t="shared" si="41"/>
        <v>322.58922039426056</v>
      </c>
      <c r="T86" s="18">
        <f t="shared" si="42"/>
        <v>322.58922039426056</v>
      </c>
      <c r="U86" s="23">
        <f t="shared" si="36"/>
        <v>994.5</v>
      </c>
      <c r="Y86" s="8" t="str">
        <f t="shared" si="43"/>
        <v>AVNH64467PC1.5</v>
      </c>
      <c r="Z86" s="8" t="str">
        <f>IF(Y86='Input - Bookings'!D79,"OK","Check")</f>
        <v>Check</v>
      </c>
      <c r="AA86" s="118"/>
      <c r="AB86" s="103"/>
      <c r="AC86" s="103"/>
      <c r="AD86" s="100">
        <f t="shared" si="38"/>
        <v>652.34056272401904</v>
      </c>
      <c r="AE86" s="100"/>
      <c r="AF86" s="8" t="str">
        <f t="array" ref="AF86">_xlfn.XLOOKUP($G86,'AP Plants'!D:D,'AP Plants'!B:B)</f>
        <v>Class 3</v>
      </c>
      <c r="AG86" s="102"/>
      <c r="AH86" s="102">
        <f t="shared" si="37"/>
        <v>652.34056272401904</v>
      </c>
      <c r="AI86" s="44">
        <v>1.4999999999999999E-2</v>
      </c>
      <c r="AJ86" s="15">
        <f>_xlfn.XLOOKUP($AF86,Warranty!B:B,Warranty!E:E)</f>
        <v>1.4999999999999999E-2</v>
      </c>
      <c r="AK86" s="8">
        <f>IF($I86="AUD",VLOOKUP(RIGHT('Wk - Margins'!$G86,3),'AU Freight'!C:G,5,0),0)</f>
        <v>0</v>
      </c>
      <c r="AL86" s="15">
        <f t="shared" si="44"/>
        <v>0</v>
      </c>
      <c r="AM86" s="61">
        <f t="shared" si="45"/>
        <v>671.91077960573944</v>
      </c>
      <c r="AN86" s="63">
        <f t="shared" si="49"/>
        <v>0.3243732733979493</v>
      </c>
      <c r="AQ86" s="147"/>
    </row>
    <row r="87" spans="1:43">
      <c r="A87" s="10" t="str">
        <f>'Input - Bookings'!A87</f>
        <v>10-06</v>
      </c>
      <c r="B87" s="11" t="str">
        <f>'Input - Bookings'!C87</f>
        <v>A</v>
      </c>
      <c r="C87" s="11" t="str">
        <f>'Input - Bookings'!H87</f>
        <v>VN</v>
      </c>
      <c r="D87" s="24" t="str">
        <f>'Input - Bookings'!E87</f>
        <v>065</v>
      </c>
      <c r="E87" s="24" t="str">
        <f>'Input - Bookings'!G87</f>
        <v>MICO MACHINERY &amp;</v>
      </c>
      <c r="F87" s="146" t="str">
        <f>'Input - Bookings'!I87</f>
        <v>H64468</v>
      </c>
      <c r="G87" s="24" t="str">
        <f>'Input - Bookings'!L87</f>
        <v>A6W9</v>
      </c>
      <c r="H87" s="24" t="str">
        <f>'Input - Bookings'!M87</f>
        <v>PC1.5</v>
      </c>
      <c r="I87" s="24" t="str">
        <f>'Input - Bookings'!B87</f>
        <v>USD</v>
      </c>
      <c r="J87" s="13" t="str">
        <f>IF(I87="USD",INDEX('AP Plants'!A:A,MATCH(G87,'AP Plants'!D:D,0)),INDEX('Australia Plants'!A:A,MATCH(G87,'Australia Plants'!D:D,0)))</f>
        <v>Staxx</v>
      </c>
      <c r="K87" s="73">
        <v>1</v>
      </c>
      <c r="L87" s="97">
        <v>1440</v>
      </c>
      <c r="M87" s="97">
        <v>994.5</v>
      </c>
      <c r="N87" s="99">
        <v>0.3243732733979493</v>
      </c>
      <c r="O87" s="25">
        <f t="shared" si="39"/>
        <v>0.30937499999999996</v>
      </c>
      <c r="P87" s="14">
        <f>IFERROR(IF(OR(B87&amp;C87="PAU",B87&amp;C87="AIN"),VLOOKUP(B87&amp;C87&amp;G87,#REF!,8,0),VLOOKUP(B87&amp;G87,#REF!,8,0)),0)</f>
        <v>0</v>
      </c>
      <c r="Q87" s="15">
        <f t="shared" si="34"/>
        <v>0.3243732733979493</v>
      </c>
      <c r="R87" s="16" t="str">
        <f t="shared" si="40"/>
        <v>AOP</v>
      </c>
      <c r="S87" s="17">
        <f t="shared" si="41"/>
        <v>322.58922039426056</v>
      </c>
      <c r="T87" s="18">
        <f t="shared" si="42"/>
        <v>322.58922039426056</v>
      </c>
      <c r="U87" s="23">
        <f t="shared" si="36"/>
        <v>994.5</v>
      </c>
      <c r="Y87" s="8" t="str">
        <f t="shared" si="43"/>
        <v>AVNH64468PC1.5</v>
      </c>
      <c r="Z87" s="8" t="str">
        <f>IF(Y87='Input - Bookings'!D80,"OK","Check")</f>
        <v>Check</v>
      </c>
      <c r="AA87" s="118"/>
      <c r="AB87" s="103"/>
      <c r="AC87" s="103"/>
      <c r="AD87" s="100">
        <f t="shared" si="38"/>
        <v>652.34056272401904</v>
      </c>
      <c r="AE87" s="98"/>
      <c r="AF87" s="8" t="str">
        <f t="array" ref="AF87">_xlfn.XLOOKUP($G87,'AP Plants'!D:D,'AP Plants'!B:B)</f>
        <v>Class 3</v>
      </c>
      <c r="AG87" s="102"/>
      <c r="AH87" s="102">
        <f t="shared" si="37"/>
        <v>652.34056272401904</v>
      </c>
      <c r="AI87" s="44">
        <v>1.4999999999999999E-2</v>
      </c>
      <c r="AJ87" s="15">
        <f>_xlfn.XLOOKUP($AF87,Warranty!B:B,Warranty!E:E)</f>
        <v>1.4999999999999999E-2</v>
      </c>
      <c r="AK87" s="8">
        <f>IF($I87="AUD",VLOOKUP(RIGHT('Wk - Margins'!$G87,3),'AU Freight'!C:G,5,0),0)</f>
        <v>0</v>
      </c>
      <c r="AL87" s="15">
        <f t="shared" si="44"/>
        <v>0</v>
      </c>
      <c r="AM87" s="61">
        <f t="shared" si="45"/>
        <v>671.91077960573944</v>
      </c>
      <c r="AN87" s="63">
        <f t="shared" si="49"/>
        <v>0.3243732733979493</v>
      </c>
      <c r="AQ87" s="147"/>
    </row>
    <row r="88" spans="1:43">
      <c r="A88" s="10" t="str">
        <f>'Input - Bookings'!A88</f>
        <v>10-06</v>
      </c>
      <c r="B88" s="11" t="str">
        <f>'Input - Bookings'!C88</f>
        <v>A</v>
      </c>
      <c r="C88" s="11" t="str">
        <f>'Input - Bookings'!H88</f>
        <v>VN</v>
      </c>
      <c r="D88" s="24" t="str">
        <f>'Input - Bookings'!E88</f>
        <v>065</v>
      </c>
      <c r="E88" s="24" t="str">
        <f>'Input - Bookings'!G88</f>
        <v>MICO MACHINERY &amp;</v>
      </c>
      <c r="F88" s="146" t="str">
        <f>'Input - Bookings'!I88</f>
        <v>H64469</v>
      </c>
      <c r="G88" s="24" t="str">
        <f>'Input - Bookings'!L88</f>
        <v>A6W9</v>
      </c>
      <c r="H88" s="24" t="str">
        <f>'Input - Bookings'!M88</f>
        <v>PC1.5</v>
      </c>
      <c r="I88" s="24" t="str">
        <f>'Input - Bookings'!B88</f>
        <v>USD</v>
      </c>
      <c r="J88" s="13" t="str">
        <f>IF(I88="USD",INDEX('AP Plants'!A:A,MATCH(G88,'AP Plants'!D:D,0)),INDEX('Australia Plants'!A:A,MATCH(G88,'Australia Plants'!D:D,0)))</f>
        <v>Staxx</v>
      </c>
      <c r="K88" s="73">
        <v>1</v>
      </c>
      <c r="L88" s="97">
        <v>1440</v>
      </c>
      <c r="M88" s="97">
        <v>994.5</v>
      </c>
      <c r="N88" s="99">
        <v>0.3243732733979493</v>
      </c>
      <c r="O88" s="25">
        <f t="shared" si="39"/>
        <v>0.30937499999999996</v>
      </c>
      <c r="P88" s="14">
        <f>IFERROR(IF(OR(B88&amp;C88="PAU",B88&amp;C88="AIN"),VLOOKUP(B88&amp;C88&amp;G88,#REF!,8,0),VLOOKUP(B88&amp;G88,#REF!,8,0)),0)</f>
        <v>0</v>
      </c>
      <c r="Q88" s="15">
        <f t="shared" si="34"/>
        <v>0.3243732733979493</v>
      </c>
      <c r="R88" s="16" t="str">
        <f t="shared" si="40"/>
        <v>AOP</v>
      </c>
      <c r="S88" s="17">
        <f t="shared" si="41"/>
        <v>322.58922039426056</v>
      </c>
      <c r="T88" s="18">
        <f t="shared" si="42"/>
        <v>322.58922039426056</v>
      </c>
      <c r="U88" s="23">
        <f t="shared" si="36"/>
        <v>994.5</v>
      </c>
      <c r="Y88" s="8" t="str">
        <f t="shared" si="43"/>
        <v>AVNH64469PC1.5</v>
      </c>
      <c r="Z88" s="8" t="str">
        <f>IF(Y88='Input - Bookings'!D81,"OK","Check")</f>
        <v>Check</v>
      </c>
      <c r="AA88" s="139"/>
      <c r="AB88" s="103"/>
      <c r="AC88" s="103"/>
      <c r="AD88" s="100">
        <f t="shared" si="38"/>
        <v>652.34056272401904</v>
      </c>
      <c r="AE88" s="100"/>
      <c r="AF88" s="8" t="str">
        <f t="array" ref="AF88">_xlfn.XLOOKUP($G88,'AP Plants'!D:D,'AP Plants'!B:B)</f>
        <v>Class 3</v>
      </c>
      <c r="AG88" s="102"/>
      <c r="AH88" s="102">
        <f t="shared" si="37"/>
        <v>652.34056272401904</v>
      </c>
      <c r="AI88" s="44">
        <v>1.4999999999999999E-2</v>
      </c>
      <c r="AJ88" s="15">
        <f>_xlfn.XLOOKUP($AF88,Warranty!B:B,Warranty!E:E)</f>
        <v>1.4999999999999999E-2</v>
      </c>
      <c r="AK88" s="8">
        <f>IF($I88="AUD",VLOOKUP(RIGHT('Wk - Margins'!$G88,3),'AU Freight'!C:G,5,0),0)</f>
        <v>0</v>
      </c>
      <c r="AL88" s="15">
        <f t="shared" si="44"/>
        <v>0</v>
      </c>
      <c r="AM88" s="61">
        <f t="shared" si="45"/>
        <v>671.91077960573944</v>
      </c>
      <c r="AN88" s="63">
        <f t="shared" si="49"/>
        <v>0.3243732733979493</v>
      </c>
      <c r="AQ88" s="147"/>
    </row>
    <row r="89" spans="1:43">
      <c r="A89" s="10" t="str">
        <f>'Input - Bookings'!A89</f>
        <v>10-06</v>
      </c>
      <c r="B89" s="11" t="str">
        <f>'Input - Bookings'!C89</f>
        <v>A</v>
      </c>
      <c r="C89" s="11" t="str">
        <f>'Input - Bookings'!H89</f>
        <v>VN</v>
      </c>
      <c r="D89" s="24" t="str">
        <f>'Input - Bookings'!E89</f>
        <v>065</v>
      </c>
      <c r="E89" s="24" t="str">
        <f>'Input - Bookings'!G89</f>
        <v>MICO MACHINERY &amp;</v>
      </c>
      <c r="F89" s="146" t="str">
        <f>'Input - Bookings'!I89</f>
        <v>H64470</v>
      </c>
      <c r="G89" s="24" t="str">
        <f>'Input - Bookings'!L89</f>
        <v>A6W9</v>
      </c>
      <c r="H89" s="24" t="str">
        <f>'Input - Bookings'!M89</f>
        <v>PC1.5</v>
      </c>
      <c r="I89" s="24" t="str">
        <f>'Input - Bookings'!B89</f>
        <v>USD</v>
      </c>
      <c r="J89" s="13" t="str">
        <f>IF(I89="USD",INDEX('AP Plants'!A:A,MATCH(G89,'AP Plants'!D:D,0)),INDEX('Australia Plants'!A:A,MATCH(G89,'Australia Plants'!D:D,0)))</f>
        <v>Staxx</v>
      </c>
      <c r="K89" s="73">
        <v>1</v>
      </c>
      <c r="L89" s="97">
        <v>1440</v>
      </c>
      <c r="M89" s="97">
        <v>994.5</v>
      </c>
      <c r="N89" s="99">
        <v>0.3243732733979493</v>
      </c>
      <c r="O89" s="25">
        <f t="shared" si="39"/>
        <v>0.30937499999999996</v>
      </c>
      <c r="P89" s="14">
        <f>IFERROR(IF(OR(B89&amp;C89="PAU",B89&amp;C89="AIN"),VLOOKUP(B89&amp;C89&amp;G89,#REF!,8,0),VLOOKUP(B89&amp;G89,#REF!,8,0)),0)</f>
        <v>0</v>
      </c>
      <c r="Q89" s="15">
        <f t="shared" si="34"/>
        <v>0.3243732733979493</v>
      </c>
      <c r="R89" s="16" t="str">
        <f t="shared" si="40"/>
        <v>AOP</v>
      </c>
      <c r="S89" s="17">
        <f t="shared" si="41"/>
        <v>322.58922039426056</v>
      </c>
      <c r="T89" s="18">
        <f t="shared" si="42"/>
        <v>322.58922039426056</v>
      </c>
      <c r="U89" s="23">
        <f t="shared" si="36"/>
        <v>994.5</v>
      </c>
      <c r="Y89" s="8" t="str">
        <f t="shared" si="43"/>
        <v>AVNH64470PC1.5</v>
      </c>
      <c r="Z89" s="8" t="str">
        <f>IF(Y89='Input - Bookings'!D82,"OK","Check")</f>
        <v>Check</v>
      </c>
      <c r="AA89" s="139"/>
      <c r="AB89" s="103"/>
      <c r="AC89" s="103"/>
      <c r="AD89" s="100">
        <f t="shared" si="38"/>
        <v>652.34056272401904</v>
      </c>
      <c r="AE89" s="100"/>
      <c r="AF89" s="8" t="str">
        <f t="array" ref="AF89">_xlfn.XLOOKUP($G89,'AP Plants'!D:D,'AP Plants'!B:B)</f>
        <v>Class 3</v>
      </c>
      <c r="AG89" s="102"/>
      <c r="AH89" s="102">
        <f t="shared" si="37"/>
        <v>652.34056272401904</v>
      </c>
      <c r="AI89" s="44">
        <v>1.4999999999999999E-2</v>
      </c>
      <c r="AJ89" s="15">
        <f>_xlfn.XLOOKUP($AF89,Warranty!B:B,Warranty!E:E)</f>
        <v>1.4999999999999999E-2</v>
      </c>
      <c r="AK89" s="8">
        <f>IF($I89="AUD",VLOOKUP(RIGHT('Wk - Margins'!$G89,3),'AU Freight'!C:G,5,0),0)</f>
        <v>0</v>
      </c>
      <c r="AL89" s="15">
        <f t="shared" si="44"/>
        <v>0</v>
      </c>
      <c r="AM89" s="61">
        <f t="shared" si="45"/>
        <v>671.91077960573944</v>
      </c>
      <c r="AN89" s="63">
        <f t="shared" si="49"/>
        <v>0.3243732733979493</v>
      </c>
      <c r="AQ89" s="147"/>
    </row>
    <row r="90" spans="1:43">
      <c r="A90" s="10" t="str">
        <f>'Input - Bookings'!A90</f>
        <v>10-06</v>
      </c>
      <c r="B90" s="11" t="str">
        <f>'Input - Bookings'!C90</f>
        <v>A</v>
      </c>
      <c r="C90" s="11" t="str">
        <f>'Input - Bookings'!H90</f>
        <v>VN</v>
      </c>
      <c r="D90" s="24" t="str">
        <f>'Input - Bookings'!E90</f>
        <v>065</v>
      </c>
      <c r="E90" s="24" t="str">
        <f>'Input - Bookings'!G90</f>
        <v>MICO MACHINERY &amp;</v>
      </c>
      <c r="F90" s="146" t="str">
        <f>'Input - Bookings'!I90</f>
        <v>H64471</v>
      </c>
      <c r="G90" s="24" t="str">
        <f>'Input - Bookings'!L90</f>
        <v>A6W9</v>
      </c>
      <c r="H90" s="24" t="str">
        <f>'Input - Bookings'!M90</f>
        <v>PC1.5</v>
      </c>
      <c r="I90" s="24" t="str">
        <f>'Input - Bookings'!B90</f>
        <v>USD</v>
      </c>
      <c r="J90" s="13" t="str">
        <f>IF(I90="USD",INDEX('AP Plants'!A:A,MATCH(G90,'AP Plants'!D:D,0)),INDEX('Australia Plants'!A:A,MATCH(G90,'Australia Plants'!D:D,0)))</f>
        <v>Staxx</v>
      </c>
      <c r="K90" s="73">
        <v>1</v>
      </c>
      <c r="L90" s="97">
        <v>1440</v>
      </c>
      <c r="M90" s="97">
        <v>994.5</v>
      </c>
      <c r="N90" s="99">
        <v>0.3243732733979493</v>
      </c>
      <c r="O90" s="25">
        <f t="shared" si="39"/>
        <v>0.30937499999999996</v>
      </c>
      <c r="P90" s="14">
        <f>IFERROR(IF(OR(B90&amp;C90="PAU",B90&amp;C90="AIN"),VLOOKUP(B90&amp;C90&amp;G90,#REF!,8,0),VLOOKUP(B90&amp;G90,#REF!,8,0)),0)</f>
        <v>0</v>
      </c>
      <c r="Q90" s="15">
        <f t="shared" si="34"/>
        <v>0.3243732733979493</v>
      </c>
      <c r="R90" s="16" t="str">
        <f t="shared" si="40"/>
        <v>AOP</v>
      </c>
      <c r="S90" s="17">
        <f t="shared" si="41"/>
        <v>322.58922039426056</v>
      </c>
      <c r="T90" s="18">
        <f t="shared" si="42"/>
        <v>322.58922039426056</v>
      </c>
      <c r="U90" s="23">
        <f t="shared" si="36"/>
        <v>994.5</v>
      </c>
      <c r="Y90" s="8" t="str">
        <f t="shared" si="43"/>
        <v>AVNH64471PC1.5</v>
      </c>
      <c r="Z90" s="8" t="str">
        <f>IF(Y90='Input - Bookings'!D83,"OK","Check")</f>
        <v>Check</v>
      </c>
      <c r="AA90" s="139"/>
      <c r="AB90" s="103"/>
      <c r="AC90" s="103"/>
      <c r="AD90" s="100">
        <f t="shared" si="38"/>
        <v>652.34056272401904</v>
      </c>
      <c r="AE90" s="100"/>
      <c r="AF90" s="8" t="str">
        <f t="array" ref="AF90">_xlfn.XLOOKUP($G90,'AP Plants'!D:D,'AP Plants'!B:B)</f>
        <v>Class 3</v>
      </c>
      <c r="AG90" s="102"/>
      <c r="AH90" s="102">
        <f t="shared" si="37"/>
        <v>652.34056272401904</v>
      </c>
      <c r="AI90" s="44">
        <v>1.4999999999999999E-2</v>
      </c>
      <c r="AJ90" s="15">
        <f>_xlfn.XLOOKUP($AF90,Warranty!B:B,Warranty!E:E)</f>
        <v>1.4999999999999999E-2</v>
      </c>
      <c r="AK90" s="8">
        <f>IF($I90="AUD",VLOOKUP(RIGHT('Wk - Margins'!$G90,3),'AU Freight'!C:G,5,0),0)</f>
        <v>0</v>
      </c>
      <c r="AL90" s="15">
        <f t="shared" si="44"/>
        <v>0</v>
      </c>
      <c r="AM90" s="61">
        <f t="shared" si="45"/>
        <v>671.91077960573944</v>
      </c>
      <c r="AN90" s="63">
        <f t="shared" si="49"/>
        <v>0.3243732733979493</v>
      </c>
      <c r="AQ90" s="147"/>
    </row>
    <row r="91" spans="1:43">
      <c r="A91" s="10" t="str">
        <f>'Input - Bookings'!A91</f>
        <v>10-08</v>
      </c>
      <c r="B91" s="11" t="str">
        <f>'Input - Bookings'!C91</f>
        <v>A</v>
      </c>
      <c r="C91" s="11" t="str">
        <f>'Input - Bookings'!H91</f>
        <v>BD</v>
      </c>
      <c r="D91" s="24" t="str">
        <f>'Input - Bookings'!E91</f>
        <v>067</v>
      </c>
      <c r="E91" s="24" t="str">
        <f>'Input - Bookings'!G91</f>
        <v>PROPERTY DEVELOPMENT LTD.</v>
      </c>
      <c r="F91" s="24" t="str">
        <f>'Input - Bookings'!I91</f>
        <v>H64702</v>
      </c>
      <c r="G91" s="24" t="str">
        <f>'Input - Bookings'!L91</f>
        <v>A7S1</v>
      </c>
      <c r="H91" s="24" t="str">
        <f>'Input - Bookings'!M91</f>
        <v>GP30UX</v>
      </c>
      <c r="I91" s="24" t="str">
        <f>'Input - Bookings'!B91</f>
        <v>USD</v>
      </c>
      <c r="J91" s="13" t="str">
        <f>IF(I91="USD",INDEX('AP Plants'!A:A,MATCH(G91,'AP Plants'!D:D,0)),INDEX('Australia Plants'!A:A,MATCH(G91,'Australia Plants'!D:D,0)))</f>
        <v>Maximal</v>
      </c>
      <c r="K91" s="73">
        <v>1</v>
      </c>
      <c r="L91" s="97">
        <v>20785</v>
      </c>
      <c r="M91" s="97">
        <v>14745.5</v>
      </c>
      <c r="N91" s="99">
        <v>0.27897942971766143</v>
      </c>
      <c r="O91" s="25">
        <f t="shared" si="39"/>
        <v>0.29057012268462834</v>
      </c>
      <c r="P91" s="14">
        <f>IFERROR(IF(OR(B91&amp;C91="PAU",B91&amp;C91="AIN"),VLOOKUP(B91&amp;C91&amp;G91,#REF!,8,0),VLOOKUP(B91&amp;G91,#REF!,8,0)),0)</f>
        <v>0</v>
      </c>
      <c r="Q91" s="15">
        <f t="shared" si="34"/>
        <v>0.27897942971766143</v>
      </c>
      <c r="R91" s="16" t="str">
        <f t="shared" si="40"/>
        <v>AOP</v>
      </c>
      <c r="S91" s="17">
        <f t="shared" si="41"/>
        <v>4113.6911809017765</v>
      </c>
      <c r="T91" s="18">
        <f t="shared" si="42"/>
        <v>4113.6911809017765</v>
      </c>
      <c r="U91" s="23">
        <f t="shared" si="36"/>
        <v>14745.5</v>
      </c>
      <c r="Y91" s="8" t="str">
        <f t="shared" si="43"/>
        <v>ABDH64702GP30UX</v>
      </c>
      <c r="Z91" s="8" t="str">
        <f>IF(Y91='Input - Bookings'!D84,"OK","Check")</f>
        <v>Check</v>
      </c>
      <c r="AA91" s="139"/>
      <c r="AB91" s="103"/>
      <c r="AC91" s="103"/>
      <c r="AD91" s="100">
        <v>10423.341979508064</v>
      </c>
      <c r="AE91" s="100"/>
      <c r="AF91" s="31" t="str">
        <f t="array" ref="AF91">_xlfn.XLOOKUP($G91,'AP Plants'!D:D,'AP Plants'!B:B)</f>
        <v>Class 5 NOT BT</v>
      </c>
      <c r="AG91" s="102"/>
      <c r="AH91" s="102">
        <f t="shared" si="37"/>
        <v>10423.341979508064</v>
      </c>
      <c r="AI91" s="44">
        <v>1.4999999999999999E-2</v>
      </c>
      <c r="AJ91" s="15">
        <f>_xlfn.XLOOKUP($AF91,Warranty!B:B,Warranty!E:E)</f>
        <v>5.0000000000000001E-3</v>
      </c>
      <c r="AK91" s="8">
        <f>IF($I91="AUD",VLOOKUP(RIGHT('Wk - Margins'!$G91,3),'AU Freight'!C:G,5,0),0)</f>
        <v>0</v>
      </c>
      <c r="AL91" s="15">
        <f t="shared" si="44"/>
        <v>0</v>
      </c>
      <c r="AM91" s="61">
        <f t="shared" si="45"/>
        <v>10631.808819098223</v>
      </c>
      <c r="AN91" s="63">
        <f t="shared" si="49"/>
        <v>0.27897942971766143</v>
      </c>
      <c r="AQ91" s="147"/>
    </row>
    <row r="92" spans="1:43">
      <c r="A92" s="10" t="str">
        <f>'Input - Bookings'!A92</f>
        <v>10-09</v>
      </c>
      <c r="B92" s="11" t="str">
        <f>'Input - Bookings'!C92</f>
        <v>A</v>
      </c>
      <c r="C92" s="11" t="str">
        <f>'Input - Bookings'!H92</f>
        <v>TH</v>
      </c>
      <c r="D92" s="24" t="str">
        <f>'Input - Bookings'!E92</f>
        <v>065</v>
      </c>
      <c r="E92" s="24" t="str">
        <f>'Input - Bookings'!G92</f>
        <v>DILOK AND SONS CO.,LTD.</v>
      </c>
      <c r="F92" s="24" t="str">
        <f>'Input - Bookings'!I92</f>
        <v>H64844</v>
      </c>
      <c r="G92" s="24" t="str">
        <f>'Input - Bookings'!L92</f>
        <v>A3C1</v>
      </c>
      <c r="H92" s="24" t="str">
        <f>'Input - Bookings'!M92</f>
        <v>H3.0UT</v>
      </c>
      <c r="I92" s="24" t="str">
        <f>'Input - Bookings'!B92</f>
        <v>USD</v>
      </c>
      <c r="J92" s="13" t="str">
        <f>IF(I92="USD",INDEX('AP Plants'!A:A,MATCH(G92,'AP Plants'!D:D,0)),INDEX('Australia Plants'!A:A,MATCH(G92,'Australia Plants'!D:D,0)))</f>
        <v>Maximal</v>
      </c>
      <c r="K92" s="73">
        <v>1</v>
      </c>
      <c r="L92" s="97">
        <v>16930</v>
      </c>
      <c r="M92" s="97">
        <v>9459.35</v>
      </c>
      <c r="N92" s="99">
        <v>8.9221257408419907E-2</v>
      </c>
      <c r="O92" s="25">
        <f t="shared" si="39"/>
        <v>0.44126698168930889</v>
      </c>
      <c r="P92" s="14">
        <f>IFERROR(IF(OR(B92&amp;C92="PAU",B92&amp;C92="AIN"),VLOOKUP(B92&amp;C92&amp;G92,#REF!,8,0),VLOOKUP(B92&amp;G92,#REF!,8,0)),0)</f>
        <v>0</v>
      </c>
      <c r="Q92" s="15">
        <f t="shared" si="34"/>
        <v>8.9221257408419907E-2</v>
      </c>
      <c r="R92" s="16" t="str">
        <f t="shared" si="40"/>
        <v>AOP</v>
      </c>
      <c r="S92" s="17">
        <f t="shared" si="41"/>
        <v>843.97510126633688</v>
      </c>
      <c r="T92" s="18">
        <f t="shared" si="42"/>
        <v>843.97510126633688</v>
      </c>
      <c r="U92" s="23">
        <f t="shared" si="36"/>
        <v>9459.35</v>
      </c>
      <c r="Y92" s="8" t="str">
        <f t="shared" si="43"/>
        <v>ATHH64844H3.0UT</v>
      </c>
      <c r="Z92" s="8" t="str">
        <f>IF(Y92='Input - Bookings'!D85,"OK","Check")</f>
        <v>Check</v>
      </c>
      <c r="AA92" s="139"/>
      <c r="AB92" s="103"/>
      <c r="AC92" s="103"/>
      <c r="AD92" s="100">
        <v>8446.4459791506524</v>
      </c>
      <c r="AE92" s="100"/>
      <c r="AF92" s="31" t="str">
        <f t="array" ref="AF92">_xlfn.XLOOKUP($G92,'AP Plants'!D:D,'AP Plants'!B:B)</f>
        <v>Class 5 NOT BT</v>
      </c>
      <c r="AG92" s="102"/>
      <c r="AH92" s="102">
        <f t="shared" si="37"/>
        <v>8446.4459791506524</v>
      </c>
      <c r="AI92" s="44">
        <v>1.4999999999999999E-2</v>
      </c>
      <c r="AJ92" s="15">
        <f>_xlfn.XLOOKUP($AF92,Warranty!B:B,Warranty!E:E)</f>
        <v>5.0000000000000001E-3</v>
      </c>
      <c r="AK92" s="8">
        <f>IF($I92="AUD",VLOOKUP(RIGHT('Wk - Margins'!$G92,3),'AU Freight'!C:G,5,0),0)</f>
        <v>0</v>
      </c>
      <c r="AL92" s="15">
        <f t="shared" si="44"/>
        <v>0</v>
      </c>
      <c r="AM92" s="61">
        <f t="shared" si="45"/>
        <v>8615.3748987336639</v>
      </c>
      <c r="AN92" s="63">
        <f t="shared" si="49"/>
        <v>8.9221257408419907E-2</v>
      </c>
      <c r="AQ92" s="147"/>
    </row>
    <row r="93" spans="1:43">
      <c r="A93" s="10" t="str">
        <f>'Input - Bookings'!A93</f>
        <v>10-09</v>
      </c>
      <c r="B93" s="11" t="str">
        <f>'Input - Bookings'!C93</f>
        <v>A</v>
      </c>
      <c r="C93" s="11" t="str">
        <f>'Input - Bookings'!H93</f>
        <v>TH</v>
      </c>
      <c r="D93" s="24" t="str">
        <f>'Input - Bookings'!E93</f>
        <v>065</v>
      </c>
      <c r="E93" s="24" t="str">
        <f>'Input - Bookings'!G93</f>
        <v>DILOK AND SONS CO.,LTD.</v>
      </c>
      <c r="F93" s="24" t="str">
        <f>'Input - Bookings'!I93</f>
        <v>H64845</v>
      </c>
      <c r="G93" s="24" t="str">
        <f>'Input - Bookings'!L93</f>
        <v>A3C1</v>
      </c>
      <c r="H93" s="24" t="str">
        <f>'Input - Bookings'!M93</f>
        <v>H3.0UT</v>
      </c>
      <c r="I93" s="24" t="str">
        <f>'Input - Bookings'!B93</f>
        <v>USD</v>
      </c>
      <c r="J93" s="13" t="str">
        <f>IF(I93="USD",INDEX('AP Plants'!A:A,MATCH(G93,'AP Plants'!D:D,0)),INDEX('Australia Plants'!A:A,MATCH(G93,'Australia Plants'!D:D,0)))</f>
        <v>Maximal</v>
      </c>
      <c r="K93" s="73">
        <v>1</v>
      </c>
      <c r="L93" s="97">
        <v>16930</v>
      </c>
      <c r="M93" s="97">
        <v>9459.35</v>
      </c>
      <c r="N93" s="99">
        <v>8.9221257408419907E-2</v>
      </c>
      <c r="O93" s="25">
        <f t="shared" si="39"/>
        <v>0.44126698168930889</v>
      </c>
      <c r="P93" s="14">
        <f>IFERROR(IF(OR(B93&amp;C93="PAU",B93&amp;C93="AIN"),VLOOKUP(B93&amp;C93&amp;G93,#REF!,8,0),VLOOKUP(B93&amp;G93,#REF!,8,0)),0)</f>
        <v>0</v>
      </c>
      <c r="Q93" s="15">
        <f t="shared" si="34"/>
        <v>8.9221257408419907E-2</v>
      </c>
      <c r="R93" s="16" t="str">
        <f t="shared" si="40"/>
        <v>AOP</v>
      </c>
      <c r="S93" s="17">
        <f t="shared" si="41"/>
        <v>843.97510126633688</v>
      </c>
      <c r="T93" s="18">
        <f t="shared" si="42"/>
        <v>843.97510126633688</v>
      </c>
      <c r="U93" s="23">
        <f t="shared" si="36"/>
        <v>9459.35</v>
      </c>
      <c r="Y93" s="8" t="str">
        <f t="shared" si="43"/>
        <v>ATHH64845H3.0UT</v>
      </c>
      <c r="Z93" s="8" t="str">
        <f>IF(Y93='Input - Bookings'!D86,"OK","Check")</f>
        <v>Check</v>
      </c>
      <c r="AA93" s="139"/>
      <c r="AB93" s="103"/>
      <c r="AC93" s="103"/>
      <c r="AD93" s="100">
        <v>8446.4459791506524</v>
      </c>
      <c r="AE93" s="100"/>
      <c r="AF93" s="8" t="str">
        <f t="array" ref="AF93">_xlfn.XLOOKUP($G93,'AP Plants'!D:D,'AP Plants'!B:B)</f>
        <v>Class 5 NOT BT</v>
      </c>
      <c r="AG93" s="102"/>
      <c r="AH93" s="102">
        <f t="shared" si="37"/>
        <v>8446.4459791506524</v>
      </c>
      <c r="AI93" s="44">
        <v>1.4999999999999999E-2</v>
      </c>
      <c r="AJ93" s="15">
        <f>_xlfn.XLOOKUP($AF93,Warranty!B:B,Warranty!E:E)</f>
        <v>5.0000000000000001E-3</v>
      </c>
      <c r="AK93" s="8">
        <f>IF($I93="AUD",VLOOKUP(RIGHT('Wk - Margins'!$G93,3),'AU Freight'!C:G,5,0),0)</f>
        <v>0</v>
      </c>
      <c r="AL93" s="15">
        <f t="shared" si="44"/>
        <v>0</v>
      </c>
      <c r="AM93" s="61">
        <f t="shared" si="45"/>
        <v>8615.3748987336639</v>
      </c>
      <c r="AN93" s="63">
        <f t="shared" si="49"/>
        <v>8.9221257408419907E-2</v>
      </c>
      <c r="AQ93" s="147"/>
    </row>
    <row r="94" spans="1:43">
      <c r="A94" s="10" t="str">
        <f>'Input - Bookings'!A94</f>
        <v>10-09</v>
      </c>
      <c r="B94" s="11" t="str">
        <f>'Input - Bookings'!C94</f>
        <v>A</v>
      </c>
      <c r="C94" s="11" t="str">
        <f>'Input - Bookings'!H94</f>
        <v>TH</v>
      </c>
      <c r="D94" s="24" t="str">
        <f>'Input - Bookings'!E94</f>
        <v>065</v>
      </c>
      <c r="E94" s="24" t="str">
        <f>'Input - Bookings'!G94</f>
        <v>DILOK AND SONS CO.,LTD.</v>
      </c>
      <c r="F94" s="24" t="str">
        <f>'Input - Bookings'!I94</f>
        <v>H64846</v>
      </c>
      <c r="G94" s="24" t="str">
        <f>'Input - Bookings'!L94</f>
        <v>A3C1</v>
      </c>
      <c r="H94" s="24" t="str">
        <f>'Input - Bookings'!M94</f>
        <v>H3.0UT</v>
      </c>
      <c r="I94" s="24" t="str">
        <f>'Input - Bookings'!B94</f>
        <v>USD</v>
      </c>
      <c r="J94" s="13" t="str">
        <f>IF(I94="USD",INDEX('AP Plants'!A:A,MATCH(G94,'AP Plants'!D:D,0)),INDEX('Australia Plants'!A:A,MATCH(G94,'Australia Plants'!D:D,0)))</f>
        <v>Maximal</v>
      </c>
      <c r="K94" s="73">
        <v>1</v>
      </c>
      <c r="L94" s="97">
        <v>16930</v>
      </c>
      <c r="M94" s="97">
        <v>9459.35</v>
      </c>
      <c r="N94" s="99">
        <v>8.9221257408419907E-2</v>
      </c>
      <c r="O94" s="25">
        <f t="shared" si="39"/>
        <v>0.44126698168930889</v>
      </c>
      <c r="P94" s="14">
        <f>IFERROR(IF(OR(B94&amp;C94="PAU",B94&amp;C94="AIN"),VLOOKUP(B94&amp;C94&amp;G94,#REF!,8,0),VLOOKUP(B94&amp;G94,#REF!,8,0)),0)</f>
        <v>0</v>
      </c>
      <c r="Q94" s="15">
        <f t="shared" si="34"/>
        <v>8.9221257408419907E-2</v>
      </c>
      <c r="R94" s="16" t="str">
        <f t="shared" si="40"/>
        <v>AOP</v>
      </c>
      <c r="S94" s="17">
        <f t="shared" si="41"/>
        <v>843.97510126633688</v>
      </c>
      <c r="T94" s="18">
        <f t="shared" si="42"/>
        <v>843.97510126633688</v>
      </c>
      <c r="U94" s="23">
        <f t="shared" si="36"/>
        <v>9459.35</v>
      </c>
      <c r="Y94" s="8" t="str">
        <f t="shared" si="43"/>
        <v>ATHH64846H3.0UT</v>
      </c>
      <c r="Z94" s="8" t="str">
        <f>IF(Y94='Input - Bookings'!D87,"OK","Check")</f>
        <v>Check</v>
      </c>
      <c r="AA94" s="118"/>
      <c r="AB94" s="103"/>
      <c r="AC94" s="103"/>
      <c r="AD94" s="100">
        <v>8446.4459791506524</v>
      </c>
      <c r="AE94" s="100"/>
      <c r="AF94" s="8" t="str">
        <f t="array" ref="AF94">_xlfn.XLOOKUP($G94,'AP Plants'!D:D,'AP Plants'!B:B)</f>
        <v>Class 5 NOT BT</v>
      </c>
      <c r="AG94" s="102"/>
      <c r="AH94" s="102">
        <f t="shared" si="37"/>
        <v>8446.4459791506524</v>
      </c>
      <c r="AI94" s="44">
        <v>1.4999999999999999E-2</v>
      </c>
      <c r="AJ94" s="15">
        <f>_xlfn.XLOOKUP($AF94,Warranty!B:B,Warranty!E:E)</f>
        <v>5.0000000000000001E-3</v>
      </c>
      <c r="AK94" s="8">
        <f>IF($I94="AUD",VLOOKUP(RIGHT('Wk - Margins'!$G94,3),'AU Freight'!C:G,5,0),0)</f>
        <v>0</v>
      </c>
      <c r="AL94" s="15">
        <f t="shared" si="44"/>
        <v>0</v>
      </c>
      <c r="AM94" s="61">
        <f t="shared" si="45"/>
        <v>8615.3748987336639</v>
      </c>
      <c r="AN94" s="63">
        <f t="shared" si="49"/>
        <v>8.9221257408419907E-2</v>
      </c>
      <c r="AQ94" s="147"/>
    </row>
    <row r="95" spans="1:43">
      <c r="A95" s="10" t="str">
        <f>'Input - Bookings'!A95</f>
        <v>10-09</v>
      </c>
      <c r="B95" s="11" t="str">
        <f>'Input - Bookings'!C95</f>
        <v>A</v>
      </c>
      <c r="C95" s="11" t="str">
        <f>'Input - Bookings'!H95</f>
        <v>TH</v>
      </c>
      <c r="D95" s="24" t="str">
        <f>'Input - Bookings'!E95</f>
        <v>065</v>
      </c>
      <c r="E95" s="24" t="str">
        <f>'Input - Bookings'!G95</f>
        <v>DILOK AND SONS CO.,LTD.</v>
      </c>
      <c r="F95" s="24" t="str">
        <f>'Input - Bookings'!I95</f>
        <v>H64847</v>
      </c>
      <c r="G95" s="24" t="str">
        <f>'Input - Bookings'!L95</f>
        <v>A3C1</v>
      </c>
      <c r="H95" s="24" t="str">
        <f>'Input - Bookings'!M95</f>
        <v>H3.0UT</v>
      </c>
      <c r="I95" s="24" t="str">
        <f>'Input - Bookings'!B95</f>
        <v>USD</v>
      </c>
      <c r="J95" s="13" t="str">
        <f>IF(I95="USD",INDEX('AP Plants'!A:A,MATCH(G95,'AP Plants'!D:D,0)),INDEX('Australia Plants'!A:A,MATCH(G95,'Australia Plants'!D:D,0)))</f>
        <v>Maximal</v>
      </c>
      <c r="K95" s="73">
        <v>1</v>
      </c>
      <c r="L95" s="97">
        <v>16930</v>
      </c>
      <c r="M95" s="97">
        <v>9459.35</v>
      </c>
      <c r="N95" s="99">
        <v>8.9221257408419907E-2</v>
      </c>
      <c r="O95" s="25">
        <f t="shared" si="39"/>
        <v>0.44126698168930889</v>
      </c>
      <c r="P95" s="14">
        <f>IFERROR(IF(OR(B95&amp;C95="PAU",B95&amp;C95="AIN"),VLOOKUP(B95&amp;C95&amp;G95,#REF!,8,0),VLOOKUP(B95&amp;G95,#REF!,8,0)),0)</f>
        <v>0</v>
      </c>
      <c r="Q95" s="15">
        <f t="shared" si="34"/>
        <v>8.9221257408419907E-2</v>
      </c>
      <c r="R95" s="16" t="str">
        <f t="shared" si="40"/>
        <v>AOP</v>
      </c>
      <c r="S95" s="17">
        <f t="shared" si="41"/>
        <v>843.97510126633688</v>
      </c>
      <c r="T95" s="18">
        <f t="shared" si="42"/>
        <v>843.97510126633688</v>
      </c>
      <c r="U95" s="23">
        <f t="shared" si="36"/>
        <v>9459.35</v>
      </c>
      <c r="Y95" s="8" t="str">
        <f t="shared" si="43"/>
        <v>ATHH64847H3.0UT</v>
      </c>
      <c r="Z95" s="8" t="str">
        <f>IF(Y95='Input - Bookings'!D88,"OK","Check")</f>
        <v>Check</v>
      </c>
      <c r="AA95" s="118"/>
      <c r="AB95" s="103"/>
      <c r="AC95" s="103"/>
      <c r="AD95" s="100">
        <v>8446.4459791506524</v>
      </c>
      <c r="AE95" s="100"/>
      <c r="AF95" s="8" t="str">
        <f t="array" ref="AF95">_xlfn.XLOOKUP($G95,'AP Plants'!D:D,'AP Plants'!B:B)</f>
        <v>Class 5 NOT BT</v>
      </c>
      <c r="AG95" s="102"/>
      <c r="AH95" s="102">
        <f t="shared" si="37"/>
        <v>8446.4459791506524</v>
      </c>
      <c r="AI95" s="44">
        <v>1.4999999999999999E-2</v>
      </c>
      <c r="AJ95" s="15">
        <f>_xlfn.XLOOKUP($AF95,Warranty!B:B,Warranty!E:E)</f>
        <v>5.0000000000000001E-3</v>
      </c>
      <c r="AK95" s="8">
        <f>IF($I95="AUD",VLOOKUP(RIGHT('Wk - Margins'!$G95,3),'AU Freight'!C:G,5,0),0)</f>
        <v>0</v>
      </c>
      <c r="AL95" s="15">
        <f t="shared" si="44"/>
        <v>0</v>
      </c>
      <c r="AM95" s="61">
        <f t="shared" si="45"/>
        <v>8615.3748987336639</v>
      </c>
      <c r="AN95" s="63">
        <f t="shared" si="49"/>
        <v>8.9221257408419907E-2</v>
      </c>
      <c r="AQ95" s="147"/>
    </row>
    <row r="96" spans="1:43">
      <c r="A96" s="10" t="str">
        <f>'Input - Bookings'!A96</f>
        <v>10-10</v>
      </c>
      <c r="B96" s="11" t="str">
        <f>'Input - Bookings'!C96</f>
        <v>A</v>
      </c>
      <c r="C96" s="11" t="str">
        <f>'Input - Bookings'!H96</f>
        <v>TH</v>
      </c>
      <c r="D96" s="24" t="str">
        <f>'Input - Bookings'!E96</f>
        <v>065</v>
      </c>
      <c r="E96" s="24" t="str">
        <f>'Input - Bookings'!G96</f>
        <v>DILOK AND SONS CO.,LTD.</v>
      </c>
      <c r="F96" s="24" t="str">
        <f>'Input - Bookings'!I96</f>
        <v>H64868</v>
      </c>
      <c r="G96" s="24" t="str">
        <f>'Input - Bookings'!L96</f>
        <v>C915</v>
      </c>
      <c r="H96" s="24" t="str">
        <f>'Input - Bookings'!M96</f>
        <v>R1.80EX  2</v>
      </c>
      <c r="I96" s="24" t="str">
        <f>'Input - Bookings'!B96</f>
        <v>USD</v>
      </c>
      <c r="J96" s="13" t="str">
        <f>IF(I96="USD",INDEX('AP Plants'!A:A,MATCH(G96,'AP Plants'!D:D,0)),INDEX('Australia Plants'!A:A,MATCH(G96,'Australia Plants'!D:D,0)))</f>
        <v>SN</v>
      </c>
      <c r="K96" s="73">
        <v>1</v>
      </c>
      <c r="L96" s="97">
        <v>28310</v>
      </c>
      <c r="M96" s="97">
        <v>17401.675000000003</v>
      </c>
      <c r="N96" s="99">
        <v>0.16718980085312007</v>
      </c>
      <c r="O96" s="25">
        <f t="shared" si="39"/>
        <v>0.38531702578594129</v>
      </c>
      <c r="P96" s="14">
        <f>IFERROR(IF(OR(B96&amp;C96="PAU",B96&amp;C96="AIN"),VLOOKUP(B96&amp;C96&amp;G96,#REF!,8,0),VLOOKUP(B96&amp;G96,#REF!,8,0)),0)</f>
        <v>0</v>
      </c>
      <c r="Q96" s="15">
        <f t="shared" si="34"/>
        <v>0.16718980085312007</v>
      </c>
      <c r="R96" s="16" t="str">
        <f t="shared" si="40"/>
        <v>AOP</v>
      </c>
      <c r="S96" s="17">
        <f t="shared" si="41"/>
        <v>2909.382577760719</v>
      </c>
      <c r="T96" s="18">
        <f t="shared" si="42"/>
        <v>2909.382577760719</v>
      </c>
      <c r="U96" s="23">
        <f t="shared" si="36"/>
        <v>17401.675000000003</v>
      </c>
      <c r="Y96" s="8" t="str">
        <f t="shared" si="43"/>
        <v>ATHH64868R1.80EX  2</v>
      </c>
      <c r="Z96" s="8" t="str">
        <f>IF(Y96='Input - Bookings'!D89,"OK","Check")</f>
        <v>Check</v>
      </c>
      <c r="AA96" s="139"/>
      <c r="AB96" s="103"/>
      <c r="AC96" s="103"/>
      <c r="AD96" s="100">
        <v>14070.186817708047</v>
      </c>
      <c r="AE96" s="100"/>
      <c r="AF96" s="8" t="str">
        <f t="array" ref="AF96">_xlfn.XLOOKUP($G96,'AP Plants'!D:D,'AP Plants'!B:B)</f>
        <v>Class 2</v>
      </c>
      <c r="AG96" s="102"/>
      <c r="AH96" s="102">
        <f t="shared" si="37"/>
        <v>14070.186817708047</v>
      </c>
      <c r="AI96" s="44">
        <v>1.4999999999999999E-2</v>
      </c>
      <c r="AJ96" s="15">
        <f>_xlfn.XLOOKUP($AF96,Warranty!B:B,Warranty!E:E)</f>
        <v>1.4999999999999999E-2</v>
      </c>
      <c r="AK96" s="8">
        <f>IF($I96="AUD",VLOOKUP(RIGHT('Wk - Margins'!$G96,3),'AU Freight'!C:G,5,0),0)</f>
        <v>0</v>
      </c>
      <c r="AL96" s="15">
        <f t="shared" si="44"/>
        <v>0</v>
      </c>
      <c r="AM96" s="61">
        <f t="shared" si="45"/>
        <v>14492.292422239285</v>
      </c>
      <c r="AN96" s="63">
        <f t="shared" si="49"/>
        <v>0.16718980085312007</v>
      </c>
      <c r="AQ96" s="147"/>
    </row>
    <row r="97" spans="1:43">
      <c r="A97" s="10" t="str">
        <f>'Input - Bookings'!A97</f>
        <v>10-10</v>
      </c>
      <c r="B97" s="11" t="str">
        <f>'Input - Bookings'!C97</f>
        <v>A</v>
      </c>
      <c r="C97" s="11" t="str">
        <f>'Input - Bookings'!H97</f>
        <v>VN</v>
      </c>
      <c r="D97" s="24" t="str">
        <f>'Input - Bookings'!E97</f>
        <v>067</v>
      </c>
      <c r="E97" s="24" t="str">
        <f>'Input - Bookings'!G97</f>
        <v>KY LUC CO., LTD</v>
      </c>
      <c r="F97" s="24" t="str">
        <f>'Input - Bookings'!I97</f>
        <v>H64861</v>
      </c>
      <c r="G97" s="24" t="str">
        <f>'Input - Bookings'!L97</f>
        <v>A7S3</v>
      </c>
      <c r="H97" s="24" t="str">
        <f>'Input - Bookings'!M97</f>
        <v>MS15UX</v>
      </c>
      <c r="I97" s="24" t="str">
        <f>'Input - Bookings'!B97</f>
        <v>USD</v>
      </c>
      <c r="J97" s="13" t="str">
        <f>IF(I97="USD",INDEX('AP Plants'!A:A,MATCH(G97,'AP Plants'!D:D,0)),INDEX('Australia Plants'!A:A,MATCH(G97,'Australia Plants'!D:D,0)))</f>
        <v>Ruyi</v>
      </c>
      <c r="K97" s="73">
        <v>1</v>
      </c>
      <c r="L97" s="97">
        <v>8620</v>
      </c>
      <c r="M97" s="97">
        <v>5996.6</v>
      </c>
      <c r="N97" s="99">
        <v>0.33301382299038718</v>
      </c>
      <c r="O97" s="25">
        <f t="shared" si="39"/>
        <v>0.30433874709976794</v>
      </c>
      <c r="P97" s="14">
        <f>IFERROR(IF(OR(B97&amp;C97="PAU",B97&amp;C97="AIN"),VLOOKUP(B97&amp;C97&amp;G97,#REF!,8,0),VLOOKUP(B97&amp;G97,#REF!,8,0)),0)</f>
        <v>0</v>
      </c>
      <c r="Q97" s="15">
        <f t="shared" si="34"/>
        <v>0.33301382299038718</v>
      </c>
      <c r="R97" s="16" t="str">
        <f t="shared" si="40"/>
        <v>AOP</v>
      </c>
      <c r="S97" s="17">
        <f t="shared" si="41"/>
        <v>1996.9506909441559</v>
      </c>
      <c r="T97" s="18">
        <f t="shared" si="42"/>
        <v>1996.9506909441559</v>
      </c>
      <c r="U97" s="23">
        <f t="shared" si="36"/>
        <v>5996.6</v>
      </c>
      <c r="Y97" s="8" t="str">
        <f t="shared" si="43"/>
        <v>AVNH64861MS15UX</v>
      </c>
      <c r="Z97" s="8" t="str">
        <f>IF(Y97='Input - Bookings'!D90,"OK","Check")</f>
        <v>Check</v>
      </c>
      <c r="AA97" s="139"/>
      <c r="AB97" s="103"/>
      <c r="AC97" s="103"/>
      <c r="AD97" s="100">
        <v>3883.1546689862575</v>
      </c>
      <c r="AE97" s="100"/>
      <c r="AF97" s="8" t="str">
        <f t="array" ref="AF97">_xlfn.XLOOKUP($G97,'AP Plants'!D:D,'AP Plants'!B:B)</f>
        <v>Class 3</v>
      </c>
      <c r="AG97" s="102"/>
      <c r="AH97" s="102">
        <f t="shared" si="37"/>
        <v>3883.1546689862575</v>
      </c>
      <c r="AI97" s="44">
        <v>1.4999999999999999E-2</v>
      </c>
      <c r="AJ97" s="15">
        <f>_xlfn.XLOOKUP($AF97,Warranty!B:B,Warranty!E:E)</f>
        <v>1.4999999999999999E-2</v>
      </c>
      <c r="AK97" s="8">
        <f>IF($I97="AUD",VLOOKUP(RIGHT('Wk - Margins'!$G97,3),'AU Freight'!C:G,5,0),0)</f>
        <v>0</v>
      </c>
      <c r="AL97" s="15">
        <f t="shared" si="44"/>
        <v>0</v>
      </c>
      <c r="AM97" s="61">
        <f t="shared" si="45"/>
        <v>3999.6493090558447</v>
      </c>
      <c r="AN97" s="63">
        <f t="shared" si="49"/>
        <v>0.33301382299038718</v>
      </c>
      <c r="AQ97" s="147"/>
    </row>
    <row r="98" spans="1:43">
      <c r="A98" s="10" t="str">
        <f>'Input - Bookings'!A98</f>
        <v>10-10</v>
      </c>
      <c r="B98" s="11" t="str">
        <f>'Input - Bookings'!C98</f>
        <v>A</v>
      </c>
      <c r="C98" s="11" t="str">
        <f>'Input - Bookings'!H98</f>
        <v>VN</v>
      </c>
      <c r="D98" s="24" t="str">
        <f>'Input - Bookings'!E98</f>
        <v>067</v>
      </c>
      <c r="E98" s="24" t="str">
        <f>'Input - Bookings'!G98</f>
        <v>KY LUC CO., LTD</v>
      </c>
      <c r="F98" s="24" t="str">
        <f>'Input - Bookings'!I98</f>
        <v>H64862</v>
      </c>
      <c r="G98" s="24" t="str">
        <f>'Input - Bookings'!L98</f>
        <v>A7S3</v>
      </c>
      <c r="H98" s="24" t="str">
        <f>'Input - Bookings'!M98</f>
        <v>MS15UX</v>
      </c>
      <c r="I98" s="24" t="str">
        <f>'Input - Bookings'!B98</f>
        <v>USD</v>
      </c>
      <c r="J98" s="13" t="str">
        <f>IF(I98="USD",INDEX('AP Plants'!A:A,MATCH(G98,'AP Plants'!D:D,0)),INDEX('Australia Plants'!A:A,MATCH(G98,'Australia Plants'!D:D,0)))</f>
        <v>Ruyi</v>
      </c>
      <c r="K98" s="73">
        <v>1</v>
      </c>
      <c r="L98" s="97">
        <v>8620</v>
      </c>
      <c r="M98" s="97">
        <v>5996.6</v>
      </c>
      <c r="N98" s="99">
        <v>0.33301382299038718</v>
      </c>
      <c r="O98" s="25">
        <f t="shared" si="39"/>
        <v>0.30433874709976794</v>
      </c>
      <c r="P98" s="14">
        <f>IFERROR(IF(OR(B98&amp;C98="PAU",B98&amp;C98="AIN"),VLOOKUP(B98&amp;C98&amp;G98,#REF!,8,0),VLOOKUP(B98&amp;G98,#REF!,8,0)),0)</f>
        <v>0</v>
      </c>
      <c r="Q98" s="15">
        <f t="shared" si="34"/>
        <v>0.33301382299038718</v>
      </c>
      <c r="R98" s="16" t="str">
        <f t="shared" si="40"/>
        <v>AOP</v>
      </c>
      <c r="S98" s="17">
        <f t="shared" si="41"/>
        <v>1996.9506909441559</v>
      </c>
      <c r="T98" s="18">
        <f t="shared" si="42"/>
        <v>1996.9506909441559</v>
      </c>
      <c r="U98" s="23">
        <f t="shared" si="36"/>
        <v>5996.6</v>
      </c>
      <c r="Y98" s="8" t="str">
        <f t="shared" si="43"/>
        <v>AVNH64862MS15UX</v>
      </c>
      <c r="Z98" s="8" t="str">
        <f>IF(Y98='Input - Bookings'!D91,"OK","Check")</f>
        <v>Check</v>
      </c>
      <c r="AA98" s="118"/>
      <c r="AB98" s="103"/>
      <c r="AC98" s="103"/>
      <c r="AD98" s="100">
        <v>3883.1546689862575</v>
      </c>
      <c r="AE98" s="100"/>
      <c r="AF98" s="8" t="str">
        <f t="array" ref="AF98">_xlfn.XLOOKUP($G98,'AP Plants'!D:D,'AP Plants'!B:B)</f>
        <v>Class 3</v>
      </c>
      <c r="AG98" s="102"/>
      <c r="AH98" s="102">
        <f t="shared" si="37"/>
        <v>3883.1546689862575</v>
      </c>
      <c r="AI98" s="44">
        <v>1.4999999999999999E-2</v>
      </c>
      <c r="AJ98" s="15">
        <f>_xlfn.XLOOKUP($AF98,Warranty!B:B,Warranty!E:E)</f>
        <v>1.4999999999999999E-2</v>
      </c>
      <c r="AK98" s="8">
        <f>IF($I98="AUD",VLOOKUP(RIGHT('Wk - Margins'!$G98,3),'AU Freight'!C:G,5,0),0)</f>
        <v>0</v>
      </c>
      <c r="AL98" s="15">
        <f t="shared" si="44"/>
        <v>0</v>
      </c>
      <c r="AM98" s="61">
        <f t="shared" si="45"/>
        <v>3999.6493090558447</v>
      </c>
      <c r="AN98" s="63">
        <f t="shared" si="49"/>
        <v>0.33301382299038718</v>
      </c>
      <c r="AQ98" s="147"/>
    </row>
    <row r="99" spans="1:43">
      <c r="A99" s="10" t="str">
        <f>'Input - Bookings'!A99</f>
        <v>10-10</v>
      </c>
      <c r="B99" s="11" t="str">
        <f>'Input - Bookings'!C99</f>
        <v>A</v>
      </c>
      <c r="C99" s="11" t="str">
        <f>'Input - Bookings'!H99</f>
        <v>VN</v>
      </c>
      <c r="D99" s="24" t="str">
        <f>'Input - Bookings'!E99</f>
        <v>067</v>
      </c>
      <c r="E99" s="24" t="str">
        <f>'Input - Bookings'!G99</f>
        <v>KY LUC CO., LTD</v>
      </c>
      <c r="F99" s="24" t="str">
        <f>'Input - Bookings'!I99</f>
        <v>H64863</v>
      </c>
      <c r="G99" s="24" t="str">
        <f>'Input - Bookings'!L99</f>
        <v>A7S3</v>
      </c>
      <c r="H99" s="24" t="str">
        <f>'Input - Bookings'!M99</f>
        <v>MS15UX</v>
      </c>
      <c r="I99" s="24" t="str">
        <f>'Input - Bookings'!B99</f>
        <v>USD</v>
      </c>
      <c r="J99" s="13" t="str">
        <f>IF(I99="USD",INDEX('AP Plants'!A:A,MATCH(G99,'AP Plants'!D:D,0)),INDEX('Australia Plants'!A:A,MATCH(G99,'Australia Plants'!D:D,0)))</f>
        <v>Ruyi</v>
      </c>
      <c r="K99" s="73">
        <v>1</v>
      </c>
      <c r="L99" s="97">
        <v>8620</v>
      </c>
      <c r="M99" s="97">
        <v>5996.6</v>
      </c>
      <c r="N99" s="99">
        <v>0.33301382299038718</v>
      </c>
      <c r="O99" s="25">
        <f t="shared" si="39"/>
        <v>0.30433874709976794</v>
      </c>
      <c r="P99" s="14">
        <f>IFERROR(IF(OR(B99&amp;C99="PAU",B99&amp;C99="AIN"),VLOOKUP(B99&amp;C99&amp;G99,#REF!,8,0),VLOOKUP(B99&amp;G99,#REF!,8,0)),0)</f>
        <v>0</v>
      </c>
      <c r="Q99" s="15">
        <f t="shared" si="34"/>
        <v>0.33301382299038718</v>
      </c>
      <c r="R99" s="16" t="str">
        <f t="shared" si="40"/>
        <v>AOP</v>
      </c>
      <c r="S99" s="17">
        <f t="shared" si="41"/>
        <v>1996.9506909441559</v>
      </c>
      <c r="T99" s="18">
        <f t="shared" si="42"/>
        <v>1996.9506909441559</v>
      </c>
      <c r="U99" s="23">
        <f t="shared" si="36"/>
        <v>5996.6</v>
      </c>
      <c r="Y99" s="8" t="str">
        <f t="shared" si="43"/>
        <v>AVNH64863MS15UX</v>
      </c>
      <c r="Z99" s="8" t="str">
        <f>IF(Y99='Input - Bookings'!D92,"OK","Check")</f>
        <v>Check</v>
      </c>
      <c r="AA99" s="139"/>
      <c r="AB99" s="103"/>
      <c r="AC99" s="103"/>
      <c r="AD99" s="100">
        <v>3883.1546689862575</v>
      </c>
      <c r="AE99" s="110"/>
      <c r="AF99" s="8" t="str">
        <f t="array" ref="AF99">_xlfn.XLOOKUP($G99,'AP Plants'!D:D,'AP Plants'!B:B)</f>
        <v>Class 3</v>
      </c>
      <c r="AG99" s="102"/>
      <c r="AH99" s="102">
        <f t="shared" si="37"/>
        <v>3883.1546689862575</v>
      </c>
      <c r="AI99" s="44">
        <v>1.4999999999999999E-2</v>
      </c>
      <c r="AJ99" s="15">
        <f>_xlfn.XLOOKUP($AF99,Warranty!B:B,Warranty!E:E)</f>
        <v>1.4999999999999999E-2</v>
      </c>
      <c r="AK99" s="8">
        <f>IF($I99="AUD",VLOOKUP(RIGHT('Wk - Margins'!$G99,3),'AU Freight'!C:G,5,0),0)</f>
        <v>0</v>
      </c>
      <c r="AL99" s="15">
        <f t="shared" si="44"/>
        <v>0</v>
      </c>
      <c r="AM99" s="61">
        <f t="shared" si="45"/>
        <v>3999.6493090558447</v>
      </c>
      <c r="AN99" s="63">
        <f t="shared" si="49"/>
        <v>0.33301382299038718</v>
      </c>
      <c r="AQ99" s="147"/>
    </row>
    <row r="100" spans="1:43">
      <c r="A100" s="10" t="str">
        <f>'Input - Bookings'!A100</f>
        <v>10-10</v>
      </c>
      <c r="B100" s="11" t="str">
        <f>'Input - Bookings'!C100</f>
        <v>A</v>
      </c>
      <c r="C100" s="11" t="str">
        <f>'Input - Bookings'!H100</f>
        <v>KR</v>
      </c>
      <c r="D100" s="24" t="str">
        <f>'Input - Bookings'!E100</f>
        <v>067</v>
      </c>
      <c r="E100" s="24" t="str">
        <f>'Input - Bookings'!G100</f>
        <v>YALE EQUIPMENT, INC</v>
      </c>
      <c r="F100" s="24" t="str">
        <f>'Input - Bookings'!I100</f>
        <v>H65373</v>
      </c>
      <c r="G100" s="24" t="str">
        <f>'Input - Bookings'!L100</f>
        <v>B891</v>
      </c>
      <c r="H100" s="24" t="str">
        <f>'Input - Bookings'!M100</f>
        <v>MPW080-E</v>
      </c>
      <c r="I100" s="24" t="str">
        <f>'Input - Bookings'!B100</f>
        <v>USD</v>
      </c>
      <c r="J100" s="13" t="str">
        <f>IF(I100="USD",INDEX('AP Plants'!A:A,MATCH(G100,'AP Plants'!D:D,0)),INDEX('Australia Plants'!A:A,MATCH(G100,'Australia Plants'!D:D,0)))</f>
        <v>Greenville</v>
      </c>
      <c r="K100" s="73">
        <v>1</v>
      </c>
      <c r="L100" s="97">
        <v>12270</v>
      </c>
      <c r="M100" s="97">
        <v>7728.9</v>
      </c>
      <c r="N100" s="99">
        <v>0.25047132760240653</v>
      </c>
      <c r="O100" s="25">
        <f t="shared" si="39"/>
        <v>0.37009779951100252</v>
      </c>
      <c r="P100" s="14">
        <f>IFERROR(IF(OR(B100&amp;C100="PAU",B100&amp;C100="AIN"),VLOOKUP(B100&amp;C100&amp;G100,#REF!,8,0),VLOOKUP(B100&amp;G100,#REF!,8,0)),0)</f>
        <v>0</v>
      </c>
      <c r="Q100" s="15">
        <f t="shared" si="34"/>
        <v>0.25047132760240653</v>
      </c>
      <c r="R100" s="16" t="str">
        <f t="shared" si="40"/>
        <v>AOP</v>
      </c>
      <c r="S100" s="17">
        <f t="shared" si="41"/>
        <v>1935.8678439062398</v>
      </c>
      <c r="T100" s="18">
        <f t="shared" si="42"/>
        <v>1935.8678439062398</v>
      </c>
      <c r="U100" s="23">
        <f t="shared" si="36"/>
        <v>7728.9</v>
      </c>
      <c r="Y100" s="8" t="str">
        <f t="shared" si="43"/>
        <v>AKRH65373MPW080-E</v>
      </c>
      <c r="Z100" s="8" t="str">
        <f>IF(Y100='Input - Bookings'!D93,"OK","Check")</f>
        <v>Check</v>
      </c>
      <c r="AA100" s="139"/>
      <c r="AB100" s="103">
        <v>0</v>
      </c>
      <c r="AC100" s="103">
        <v>0</v>
      </c>
      <c r="AD100" s="100">
        <v>5619.2457430000004</v>
      </c>
      <c r="AE100" s="100"/>
      <c r="AF100" s="8" t="str">
        <f t="array" ref="AF100">_xlfn.XLOOKUP($G100,'AP Plants'!D:D,'AP Plants'!B:B)</f>
        <v>Class 3</v>
      </c>
      <c r="AG100" s="102"/>
      <c r="AH100" s="102">
        <f>(AD100*(1+VLOOKUP(J100,'Currency &amp; Conversion'!$F$12:$I$18,2,0)))+((AB100+AC100)*90%)</f>
        <v>5624.3030641687001</v>
      </c>
      <c r="AI100" s="44">
        <v>1.4999999999999999E-2</v>
      </c>
      <c r="AJ100" s="15">
        <f>_xlfn.XLOOKUP($AF100,Warranty!B:B,Warranty!E:E)</f>
        <v>1.4999999999999999E-2</v>
      </c>
      <c r="AK100" s="8">
        <f>IF($I100="AUD",VLOOKUP(RIGHT('Wk - Margins'!$G100,3),'AU Freight'!C:G,5,0),0)</f>
        <v>0</v>
      </c>
      <c r="AL100" s="15">
        <f t="shared" si="44"/>
        <v>0</v>
      </c>
      <c r="AM100" s="61">
        <f t="shared" si="45"/>
        <v>5793.03215609376</v>
      </c>
      <c r="AN100" s="63">
        <f t="shared" si="49"/>
        <v>0.25047132760240653</v>
      </c>
      <c r="AQ100" s="147"/>
    </row>
    <row r="101" spans="1:43">
      <c r="A101" s="10" t="str">
        <f>'Input - Bookings'!A101</f>
        <v>10-10</v>
      </c>
      <c r="B101" s="11" t="str">
        <f>'Input - Bookings'!C101</f>
        <v>A</v>
      </c>
      <c r="C101" s="11" t="str">
        <f>'Input - Bookings'!H101</f>
        <v>KR</v>
      </c>
      <c r="D101" s="24" t="str">
        <f>'Input - Bookings'!E101</f>
        <v>067</v>
      </c>
      <c r="E101" s="24" t="str">
        <f>'Input - Bookings'!G101</f>
        <v>YALE EQUIPMENT, INC</v>
      </c>
      <c r="F101" s="24" t="str">
        <f>'Input - Bookings'!I101</f>
        <v>H65374</v>
      </c>
      <c r="G101" s="24" t="str">
        <f>'Input - Bookings'!L101</f>
        <v>B891</v>
      </c>
      <c r="H101" s="24" t="str">
        <f>'Input - Bookings'!M101</f>
        <v>MPW080-E</v>
      </c>
      <c r="I101" s="24" t="str">
        <f>'Input - Bookings'!B101</f>
        <v>USD</v>
      </c>
      <c r="J101" s="13" t="str">
        <f>IF(I101="USD",INDEX('AP Plants'!A:A,MATCH(G101,'AP Plants'!D:D,0)),INDEX('Australia Plants'!A:A,MATCH(G101,'Australia Plants'!D:D,0)))</f>
        <v>Greenville</v>
      </c>
      <c r="K101" s="73">
        <v>1</v>
      </c>
      <c r="L101" s="97">
        <v>12270</v>
      </c>
      <c r="M101" s="97">
        <v>7728.9</v>
      </c>
      <c r="N101" s="99">
        <v>0.25047132760240653</v>
      </c>
      <c r="O101" s="25">
        <f t="shared" si="39"/>
        <v>0.37009779951100252</v>
      </c>
      <c r="P101" s="14">
        <f>IFERROR(IF(OR(B101&amp;C101="PAU",B101&amp;C101="AIN"),VLOOKUP(B101&amp;C101&amp;G101,#REF!,8,0),VLOOKUP(B101&amp;G101,#REF!,8,0)),0)</f>
        <v>0</v>
      </c>
      <c r="Q101" s="15">
        <f t="shared" si="34"/>
        <v>0.25047132760240653</v>
      </c>
      <c r="R101" s="16" t="str">
        <f t="shared" si="40"/>
        <v>AOP</v>
      </c>
      <c r="S101" s="17">
        <f t="shared" si="41"/>
        <v>1935.8678439062398</v>
      </c>
      <c r="T101" s="18">
        <f t="shared" si="42"/>
        <v>1935.8678439062398</v>
      </c>
      <c r="U101" s="23">
        <f t="shared" si="36"/>
        <v>7728.9</v>
      </c>
      <c r="Y101" s="8" t="str">
        <f t="shared" si="43"/>
        <v>AKRH65374MPW080-E</v>
      </c>
      <c r="Z101" s="8" t="str">
        <f>IF(Y101='Input - Bookings'!D94,"OK","Check")</f>
        <v>Check</v>
      </c>
      <c r="AA101" s="139"/>
      <c r="AB101" s="103">
        <v>0</v>
      </c>
      <c r="AC101" s="103">
        <v>0</v>
      </c>
      <c r="AD101" s="100">
        <v>5619.2457430000004</v>
      </c>
      <c r="AE101" s="98"/>
      <c r="AF101" s="8" t="str">
        <f t="array" ref="AF101">_xlfn.XLOOKUP($G101,'AP Plants'!D:D,'AP Plants'!B:B)</f>
        <v>Class 3</v>
      </c>
      <c r="AG101" s="102"/>
      <c r="AH101" s="102">
        <f>(AD101*(1+VLOOKUP(J101,'Currency &amp; Conversion'!$F$12:$I$18,2,0)))+((AB101+AC101)*90%)</f>
        <v>5624.3030641687001</v>
      </c>
      <c r="AI101" s="44">
        <v>1.4999999999999999E-2</v>
      </c>
      <c r="AJ101" s="15">
        <f>_xlfn.XLOOKUP($AF101,Warranty!B:B,Warranty!E:E)</f>
        <v>1.4999999999999999E-2</v>
      </c>
      <c r="AK101" s="8">
        <f>IF($I101="AUD",VLOOKUP(RIGHT('Wk - Margins'!$G101,3),'AU Freight'!C:G,5,0),0)</f>
        <v>0</v>
      </c>
      <c r="AL101" s="15">
        <f t="shared" si="44"/>
        <v>0</v>
      </c>
      <c r="AM101" s="61">
        <f t="shared" si="45"/>
        <v>5793.03215609376</v>
      </c>
      <c r="AN101" s="63">
        <f t="shared" si="49"/>
        <v>0.25047132760240653</v>
      </c>
      <c r="AQ101" s="147"/>
    </row>
    <row r="102" spans="1:43">
      <c r="A102" s="10" t="str">
        <f>'Input - Bookings'!A102</f>
        <v>10-11</v>
      </c>
      <c r="B102" s="11" t="str">
        <f>'Input - Bookings'!C102</f>
        <v>A</v>
      </c>
      <c r="C102" s="11" t="str">
        <f>'Input - Bookings'!H102</f>
        <v>VN</v>
      </c>
      <c r="D102" s="24" t="str">
        <f>'Input - Bookings'!E102</f>
        <v>067</v>
      </c>
      <c r="E102" s="24" t="str">
        <f>'Input - Bookings'!G102</f>
        <v>KY LUC CO., LTD</v>
      </c>
      <c r="F102" s="146" t="str">
        <f>'Input - Bookings'!I102</f>
        <v>H65538</v>
      </c>
      <c r="G102" s="24" t="str">
        <f>'Input - Bookings'!L102</f>
        <v>A3D4</v>
      </c>
      <c r="H102" s="24" t="str">
        <f>'Input - Bookings'!M102</f>
        <v>MPC15</v>
      </c>
      <c r="I102" s="24" t="str">
        <f>'Input - Bookings'!B102</f>
        <v>USD</v>
      </c>
      <c r="J102" s="13" t="str">
        <f>IF(I102="USD",INDEX('AP Plants'!A:A,MATCH(G102,'AP Plants'!D:D,0)),INDEX('Australia Plants'!A:A,MATCH(G102,'Australia Plants'!D:D,0)))</f>
        <v>Staxx</v>
      </c>
      <c r="K102" s="73">
        <v>1</v>
      </c>
      <c r="L102" s="97">
        <v>1455</v>
      </c>
      <c r="M102" s="97">
        <v>1006.5</v>
      </c>
      <c r="N102" s="99">
        <v>0.27113208406198797</v>
      </c>
      <c r="O102" s="25">
        <f t="shared" si="39"/>
        <v>0.30824742268041239</v>
      </c>
      <c r="P102" s="14">
        <f>IFERROR(IF(OR(B102&amp;C102="PAU",B102&amp;C102="AIN"),VLOOKUP(B102&amp;C102&amp;G102,#REF!,8,0),VLOOKUP(B102&amp;G102,#REF!,8,0)),0)</f>
        <v>0</v>
      </c>
      <c r="Q102" s="15">
        <f t="shared" si="34"/>
        <v>0.27113208406198797</v>
      </c>
      <c r="R102" s="16" t="str">
        <f t="shared" si="40"/>
        <v>AOP</v>
      </c>
      <c r="S102" s="17">
        <f t="shared" si="41"/>
        <v>272.89444260839088</v>
      </c>
      <c r="T102" s="18">
        <f t="shared" si="42"/>
        <v>272.89444260839088</v>
      </c>
      <c r="U102" s="23">
        <f t="shared" si="36"/>
        <v>1006.5</v>
      </c>
      <c r="Y102" s="8" t="str">
        <f t="shared" si="43"/>
        <v>AVNH65538MPC15</v>
      </c>
      <c r="Z102" s="8" t="str">
        <f>IF(Y102='Input - Bookings'!D95,"OK","Check")</f>
        <v>Check</v>
      </c>
      <c r="AA102" s="118"/>
      <c r="AB102" s="103"/>
      <c r="AC102" s="103"/>
      <c r="AD102" s="100">
        <f>702.238405234572+10</f>
        <v>712.23840523457204</v>
      </c>
      <c r="AE102" s="98"/>
      <c r="AF102" s="8" t="str">
        <f t="array" ref="AF102">_xlfn.XLOOKUP($G102,'AP Plants'!D:D,'AP Plants'!B:B)</f>
        <v>Class 3</v>
      </c>
      <c r="AG102" s="102"/>
      <c r="AH102" s="102">
        <f t="shared" ref="AH102:AH144" si="50">AD102</f>
        <v>712.23840523457204</v>
      </c>
      <c r="AI102" s="44">
        <v>1.4999999999999999E-2</v>
      </c>
      <c r="AJ102" s="15">
        <f>_xlfn.XLOOKUP($AF102,Warranty!B:B,Warranty!E:E)</f>
        <v>1.4999999999999999E-2</v>
      </c>
      <c r="AK102" s="8">
        <f>IF($I102="AUD",VLOOKUP(RIGHT('Wk - Margins'!$G102,3),'AU Freight'!C:G,5,0),0)</f>
        <v>0</v>
      </c>
      <c r="AL102" s="15">
        <f t="shared" si="44"/>
        <v>0</v>
      </c>
      <c r="AM102" s="61">
        <f t="shared" si="45"/>
        <v>733.60555739160907</v>
      </c>
      <c r="AN102" s="63">
        <f t="shared" si="49"/>
        <v>0.27113208406198797</v>
      </c>
      <c r="AQ102" s="147"/>
    </row>
    <row r="103" spans="1:43">
      <c r="A103" s="10" t="str">
        <f>'Input - Bookings'!A103</f>
        <v>10-11</v>
      </c>
      <c r="B103" s="11" t="str">
        <f>'Input - Bookings'!C103</f>
        <v>A</v>
      </c>
      <c r="C103" s="11" t="str">
        <f>'Input - Bookings'!H103</f>
        <v>VN</v>
      </c>
      <c r="D103" s="24" t="str">
        <f>'Input - Bookings'!E103</f>
        <v>067</v>
      </c>
      <c r="E103" s="24" t="str">
        <f>'Input - Bookings'!G103</f>
        <v>KY LUC CO., LTD</v>
      </c>
      <c r="F103" s="146" t="str">
        <f>'Input - Bookings'!I103</f>
        <v>H65539</v>
      </c>
      <c r="G103" s="24" t="str">
        <f>'Input - Bookings'!L103</f>
        <v>A3D4</v>
      </c>
      <c r="H103" s="24" t="str">
        <f>'Input - Bookings'!M103</f>
        <v>MPC15</v>
      </c>
      <c r="I103" s="24" t="str">
        <f>'Input - Bookings'!B103</f>
        <v>USD</v>
      </c>
      <c r="J103" s="13" t="str">
        <f>IF(I103="USD",INDEX('AP Plants'!A:A,MATCH(G103,'AP Plants'!D:D,0)),INDEX('Australia Plants'!A:A,MATCH(G103,'Australia Plants'!D:D,0)))</f>
        <v>Staxx</v>
      </c>
      <c r="K103" s="73">
        <v>1</v>
      </c>
      <c r="L103" s="97">
        <v>1455</v>
      </c>
      <c r="M103" s="97">
        <v>1006.5</v>
      </c>
      <c r="N103" s="99">
        <v>0.27113208406198797</v>
      </c>
      <c r="O103" s="25">
        <f t="shared" si="39"/>
        <v>0.30824742268041239</v>
      </c>
      <c r="P103" s="14">
        <f>IFERROR(IF(OR(B103&amp;C103="PAU",B103&amp;C103="AIN"),VLOOKUP(B103&amp;C103&amp;G103,#REF!,8,0),VLOOKUP(B103&amp;G103,#REF!,8,0)),0)</f>
        <v>0</v>
      </c>
      <c r="Q103" s="15">
        <f t="shared" si="34"/>
        <v>0.27113208406198797</v>
      </c>
      <c r="R103" s="16" t="str">
        <f t="shared" si="40"/>
        <v>AOP</v>
      </c>
      <c r="S103" s="17">
        <f t="shared" si="41"/>
        <v>272.89444260839088</v>
      </c>
      <c r="T103" s="18">
        <f t="shared" si="42"/>
        <v>272.89444260839088</v>
      </c>
      <c r="U103" s="23">
        <f t="shared" si="36"/>
        <v>1006.5</v>
      </c>
      <c r="Y103" s="8" t="str">
        <f t="shared" si="43"/>
        <v>AVNH65539MPC15</v>
      </c>
      <c r="Z103" s="8" t="str">
        <f>IF(Y103='Input - Bookings'!D96,"OK","Check")</f>
        <v>Check</v>
      </c>
      <c r="AA103" s="118"/>
      <c r="AB103" s="103"/>
      <c r="AC103" s="103"/>
      <c r="AD103" s="100">
        <f t="shared" ref="AD103:AD121" si="51">702.238405234572+10</f>
        <v>712.23840523457204</v>
      </c>
      <c r="AE103" s="98"/>
      <c r="AF103" s="8" t="str">
        <f t="array" ref="AF103">_xlfn.XLOOKUP($G103,'AP Plants'!D:D,'AP Plants'!B:B)</f>
        <v>Class 3</v>
      </c>
      <c r="AG103" s="102"/>
      <c r="AH103" s="102">
        <f t="shared" si="50"/>
        <v>712.23840523457204</v>
      </c>
      <c r="AI103" s="44">
        <v>1.4999999999999999E-2</v>
      </c>
      <c r="AJ103" s="15">
        <f>_xlfn.XLOOKUP($AF103,Warranty!B:B,Warranty!E:E)</f>
        <v>1.4999999999999999E-2</v>
      </c>
      <c r="AK103" s="8">
        <f>IF($I103="AUD",VLOOKUP(RIGHT('Wk - Margins'!$G103,3),'AU Freight'!C:G,5,0),0)</f>
        <v>0</v>
      </c>
      <c r="AL103" s="15">
        <f t="shared" si="44"/>
        <v>0</v>
      </c>
      <c r="AM103" s="61">
        <f t="shared" si="45"/>
        <v>733.60555739160907</v>
      </c>
      <c r="AN103" s="63">
        <f t="shared" si="49"/>
        <v>0.27113208406198797</v>
      </c>
      <c r="AQ103" s="147"/>
    </row>
    <row r="104" spans="1:43">
      <c r="A104" s="10" t="str">
        <f>'Input - Bookings'!A104</f>
        <v>10-11</v>
      </c>
      <c r="B104" s="11" t="str">
        <f>'Input - Bookings'!C104</f>
        <v>A</v>
      </c>
      <c r="C104" s="11" t="str">
        <f>'Input - Bookings'!H104</f>
        <v>VN</v>
      </c>
      <c r="D104" s="24" t="str">
        <f>'Input - Bookings'!E104</f>
        <v>067</v>
      </c>
      <c r="E104" s="24" t="str">
        <f>'Input - Bookings'!G104</f>
        <v>KY LUC CO., LTD</v>
      </c>
      <c r="F104" s="146" t="str">
        <f>'Input - Bookings'!I104</f>
        <v>H65540</v>
      </c>
      <c r="G104" s="24" t="str">
        <f>'Input - Bookings'!L104</f>
        <v>A3D4</v>
      </c>
      <c r="H104" s="24" t="str">
        <f>'Input - Bookings'!M104</f>
        <v>MPC15</v>
      </c>
      <c r="I104" s="24" t="str">
        <f>'Input - Bookings'!B104</f>
        <v>USD</v>
      </c>
      <c r="J104" s="13" t="str">
        <f>IF(I104="USD",INDEX('AP Plants'!A:A,MATCH(G104,'AP Plants'!D:D,0)),INDEX('Australia Plants'!A:A,MATCH(G104,'Australia Plants'!D:D,0)))</f>
        <v>Staxx</v>
      </c>
      <c r="K104" s="73">
        <v>1</v>
      </c>
      <c r="L104" s="97">
        <v>1455</v>
      </c>
      <c r="M104" s="97">
        <v>1006.5</v>
      </c>
      <c r="N104" s="99">
        <v>0.27113208406198797</v>
      </c>
      <c r="O104" s="25">
        <f t="shared" si="39"/>
        <v>0.30824742268041239</v>
      </c>
      <c r="P104" s="14">
        <f>IFERROR(IF(OR(B104&amp;C104="PAU",B104&amp;C104="AIN"),VLOOKUP(B104&amp;C104&amp;G104,#REF!,8,0),VLOOKUP(B104&amp;G104,#REF!,8,0)),0)</f>
        <v>0</v>
      </c>
      <c r="Q104" s="15">
        <f t="shared" si="34"/>
        <v>0.27113208406198797</v>
      </c>
      <c r="R104" s="16" t="str">
        <f t="shared" si="40"/>
        <v>AOP</v>
      </c>
      <c r="S104" s="17">
        <f t="shared" si="41"/>
        <v>272.89444260839088</v>
      </c>
      <c r="T104" s="18">
        <f t="shared" si="42"/>
        <v>272.89444260839088</v>
      </c>
      <c r="U104" s="23">
        <f t="shared" si="36"/>
        <v>1006.5</v>
      </c>
      <c r="Y104" s="8" t="str">
        <f t="shared" si="43"/>
        <v>AVNH65540MPC15</v>
      </c>
      <c r="Z104" s="8" t="str">
        <f>IF(Y104='Input - Bookings'!D97,"OK","Check")</f>
        <v>Check</v>
      </c>
      <c r="AA104" s="118"/>
      <c r="AB104" s="103"/>
      <c r="AC104" s="103"/>
      <c r="AD104" s="100">
        <f t="shared" si="51"/>
        <v>712.23840523457204</v>
      </c>
      <c r="AE104" s="98"/>
      <c r="AF104" s="8" t="str">
        <f t="array" ref="AF104">_xlfn.XLOOKUP($G104,'AP Plants'!D:D,'AP Plants'!B:B)</f>
        <v>Class 3</v>
      </c>
      <c r="AG104" s="102"/>
      <c r="AH104" s="102">
        <f t="shared" si="50"/>
        <v>712.23840523457204</v>
      </c>
      <c r="AI104" s="44">
        <v>1.4999999999999999E-2</v>
      </c>
      <c r="AJ104" s="15">
        <f>_xlfn.XLOOKUP($AF104,Warranty!B:B,Warranty!E:E)</f>
        <v>1.4999999999999999E-2</v>
      </c>
      <c r="AK104" s="8">
        <f>IF($I104="AUD",VLOOKUP(RIGHT('Wk - Margins'!$G104,3),'AU Freight'!C:G,5,0),0)</f>
        <v>0</v>
      </c>
      <c r="AL104" s="15">
        <f t="shared" si="44"/>
        <v>0</v>
      </c>
      <c r="AM104" s="61">
        <f t="shared" si="45"/>
        <v>733.60555739160907</v>
      </c>
      <c r="AN104" s="63">
        <f t="shared" si="49"/>
        <v>0.27113208406198797</v>
      </c>
      <c r="AQ104" s="147"/>
    </row>
    <row r="105" spans="1:43">
      <c r="A105" s="10" t="str">
        <f>'Input - Bookings'!A105</f>
        <v>10-11</v>
      </c>
      <c r="B105" s="11" t="str">
        <f>'Input - Bookings'!C105</f>
        <v>A</v>
      </c>
      <c r="C105" s="11" t="str">
        <f>'Input - Bookings'!H105</f>
        <v>VN</v>
      </c>
      <c r="D105" s="24" t="str">
        <f>'Input - Bookings'!E105</f>
        <v>067</v>
      </c>
      <c r="E105" s="24" t="str">
        <f>'Input - Bookings'!G105</f>
        <v>KY LUC CO., LTD</v>
      </c>
      <c r="F105" s="146" t="str">
        <f>'Input - Bookings'!I105</f>
        <v>H65541</v>
      </c>
      <c r="G105" s="24" t="str">
        <f>'Input - Bookings'!L105</f>
        <v>A3D4</v>
      </c>
      <c r="H105" s="24" t="str">
        <f>'Input - Bookings'!M105</f>
        <v>MPC15</v>
      </c>
      <c r="I105" s="24" t="str">
        <f>'Input - Bookings'!B105</f>
        <v>USD</v>
      </c>
      <c r="J105" s="13" t="str">
        <f>IF(I105="USD",INDEX('AP Plants'!A:A,MATCH(G105,'AP Plants'!D:D,0)),INDEX('Australia Plants'!A:A,MATCH(G105,'Australia Plants'!D:D,0)))</f>
        <v>Staxx</v>
      </c>
      <c r="K105" s="73">
        <v>1</v>
      </c>
      <c r="L105" s="97">
        <v>1455</v>
      </c>
      <c r="M105" s="97">
        <v>1006.5</v>
      </c>
      <c r="N105" s="99">
        <v>0.27113208406198797</v>
      </c>
      <c r="O105" s="25">
        <f t="shared" si="39"/>
        <v>0.30824742268041239</v>
      </c>
      <c r="P105" s="14">
        <f>IFERROR(IF(OR(B105&amp;C105="PAU",B105&amp;C105="AIN"),VLOOKUP(B105&amp;C105&amp;G105,#REF!,8,0),VLOOKUP(B105&amp;G105,#REF!,8,0)),0)</f>
        <v>0</v>
      </c>
      <c r="Q105" s="15">
        <f t="shared" si="34"/>
        <v>0.27113208406198797</v>
      </c>
      <c r="R105" s="16" t="str">
        <f t="shared" si="40"/>
        <v>AOP</v>
      </c>
      <c r="S105" s="17">
        <f t="shared" si="41"/>
        <v>272.89444260839088</v>
      </c>
      <c r="T105" s="18">
        <f t="shared" si="42"/>
        <v>272.89444260839088</v>
      </c>
      <c r="U105" s="23">
        <f t="shared" si="36"/>
        <v>1006.5</v>
      </c>
      <c r="Y105" s="8" t="str">
        <f t="shared" si="43"/>
        <v>AVNH65541MPC15</v>
      </c>
      <c r="Z105" s="8" t="str">
        <f>IF(Y105='Input - Bookings'!D98,"OK","Check")</f>
        <v>Check</v>
      </c>
      <c r="AA105" s="140"/>
      <c r="AB105" s="103"/>
      <c r="AC105" s="103"/>
      <c r="AD105" s="100">
        <f t="shared" si="51"/>
        <v>712.23840523457204</v>
      </c>
      <c r="AE105" s="98"/>
      <c r="AF105" s="8" t="str">
        <f t="array" ref="AF105">_xlfn.XLOOKUP($G105,'AP Plants'!D:D,'AP Plants'!B:B)</f>
        <v>Class 3</v>
      </c>
      <c r="AG105" s="102"/>
      <c r="AH105" s="102">
        <f t="shared" si="50"/>
        <v>712.23840523457204</v>
      </c>
      <c r="AI105" s="44">
        <v>1.4999999999999999E-2</v>
      </c>
      <c r="AJ105" s="15">
        <f>_xlfn.XLOOKUP($AF105,Warranty!B:B,Warranty!E:E)</f>
        <v>1.4999999999999999E-2</v>
      </c>
      <c r="AK105" s="8">
        <f>IF($I105="AUD",VLOOKUP(RIGHT('Wk - Margins'!$G105,3),'AU Freight'!C:G,5,0),0)</f>
        <v>0</v>
      </c>
      <c r="AL105" s="15">
        <f t="shared" si="44"/>
        <v>0</v>
      </c>
      <c r="AM105" s="61">
        <f t="shared" si="45"/>
        <v>733.60555739160907</v>
      </c>
      <c r="AN105" s="63">
        <f t="shared" si="49"/>
        <v>0.27113208406198797</v>
      </c>
      <c r="AQ105" s="147"/>
    </row>
    <row r="106" spans="1:43">
      <c r="A106" s="10" t="str">
        <f>'Input - Bookings'!A106</f>
        <v>10-11</v>
      </c>
      <c r="B106" s="11" t="str">
        <f>'Input - Bookings'!C106</f>
        <v>A</v>
      </c>
      <c r="C106" s="11" t="str">
        <f>'Input - Bookings'!H106</f>
        <v>VN</v>
      </c>
      <c r="D106" s="24" t="str">
        <f>'Input - Bookings'!E106</f>
        <v>067</v>
      </c>
      <c r="E106" s="24" t="str">
        <f>'Input - Bookings'!G106</f>
        <v>KY LUC CO., LTD</v>
      </c>
      <c r="F106" s="146" t="str">
        <f>'Input - Bookings'!I106</f>
        <v>H65542</v>
      </c>
      <c r="G106" s="24" t="str">
        <f>'Input - Bookings'!L106</f>
        <v>A3D4</v>
      </c>
      <c r="H106" s="24" t="str">
        <f>'Input - Bookings'!M106</f>
        <v>MPC15</v>
      </c>
      <c r="I106" s="24" t="str">
        <f>'Input - Bookings'!B106</f>
        <v>USD</v>
      </c>
      <c r="J106" s="13" t="str">
        <f>IF(I106="USD",INDEX('AP Plants'!A:A,MATCH(G106,'AP Plants'!D:D,0)),INDEX('Australia Plants'!A:A,MATCH(G106,'Australia Plants'!D:D,0)))</f>
        <v>Staxx</v>
      </c>
      <c r="K106" s="73">
        <v>1</v>
      </c>
      <c r="L106" s="97">
        <v>1455</v>
      </c>
      <c r="M106" s="97">
        <v>1006.5</v>
      </c>
      <c r="N106" s="99">
        <v>0.27113208406198797</v>
      </c>
      <c r="O106" s="25">
        <f t="shared" si="39"/>
        <v>0.30824742268041239</v>
      </c>
      <c r="P106" s="14">
        <f>IFERROR(IF(OR(B106&amp;C106="PAU",B106&amp;C106="AIN"),VLOOKUP(B106&amp;C106&amp;G106,#REF!,8,0),VLOOKUP(B106&amp;G106,#REF!,8,0)),0)</f>
        <v>0</v>
      </c>
      <c r="Q106" s="15">
        <f t="shared" si="34"/>
        <v>0.27113208406198797</v>
      </c>
      <c r="R106" s="16" t="str">
        <f t="shared" si="40"/>
        <v>AOP</v>
      </c>
      <c r="S106" s="17">
        <f t="shared" si="41"/>
        <v>272.89444260839088</v>
      </c>
      <c r="T106" s="18">
        <f t="shared" si="42"/>
        <v>272.89444260839088</v>
      </c>
      <c r="U106" s="23">
        <f t="shared" si="36"/>
        <v>1006.5</v>
      </c>
      <c r="Y106" s="8" t="str">
        <f t="shared" si="43"/>
        <v>AVNH65542MPC15</v>
      </c>
      <c r="Z106" s="8" t="str">
        <f>IF(Y106='Input - Bookings'!D99,"OK","Check")</f>
        <v>Check</v>
      </c>
      <c r="AA106" s="118"/>
      <c r="AB106" s="103"/>
      <c r="AC106" s="103"/>
      <c r="AD106" s="100">
        <f t="shared" si="51"/>
        <v>712.23840523457204</v>
      </c>
      <c r="AE106" s="98"/>
      <c r="AF106" s="8" t="str">
        <f t="array" ref="AF106">_xlfn.XLOOKUP($G106,'AP Plants'!D:D,'AP Plants'!B:B)</f>
        <v>Class 3</v>
      </c>
      <c r="AG106" s="102"/>
      <c r="AH106" s="102">
        <f t="shared" si="50"/>
        <v>712.23840523457204</v>
      </c>
      <c r="AI106" s="44">
        <v>1.4999999999999999E-2</v>
      </c>
      <c r="AJ106" s="15">
        <f>_xlfn.XLOOKUP($AF106,Warranty!B:B,Warranty!E:E)</f>
        <v>1.4999999999999999E-2</v>
      </c>
      <c r="AK106" s="8">
        <f>IF($I106="AUD",VLOOKUP(RIGHT('Wk - Margins'!$G106,3),'AU Freight'!C:G,5,0),0)</f>
        <v>0</v>
      </c>
      <c r="AL106" s="15">
        <f t="shared" si="44"/>
        <v>0</v>
      </c>
      <c r="AM106" s="61">
        <f t="shared" si="45"/>
        <v>733.60555739160907</v>
      </c>
      <c r="AN106" s="63">
        <f t="shared" si="49"/>
        <v>0.27113208406198797</v>
      </c>
      <c r="AQ106" s="147"/>
    </row>
    <row r="107" spans="1:43">
      <c r="A107" s="10" t="str">
        <f>'Input - Bookings'!A107</f>
        <v>10-11</v>
      </c>
      <c r="B107" s="11" t="str">
        <f>'Input - Bookings'!C107</f>
        <v>A</v>
      </c>
      <c r="C107" s="11" t="str">
        <f>'Input - Bookings'!H107</f>
        <v>VN</v>
      </c>
      <c r="D107" s="24" t="str">
        <f>'Input - Bookings'!E107</f>
        <v>067</v>
      </c>
      <c r="E107" s="24" t="str">
        <f>'Input - Bookings'!G107</f>
        <v>KY LUC CO., LTD</v>
      </c>
      <c r="F107" s="146" t="str">
        <f>'Input - Bookings'!I107</f>
        <v>H65543</v>
      </c>
      <c r="G107" s="24" t="str">
        <f>'Input - Bookings'!L107</f>
        <v>A3D4</v>
      </c>
      <c r="H107" s="24" t="str">
        <f>'Input - Bookings'!M107</f>
        <v>MPC15</v>
      </c>
      <c r="I107" s="24" t="str">
        <f>'Input - Bookings'!B107</f>
        <v>USD</v>
      </c>
      <c r="J107" s="13" t="str">
        <f>IF(I107="USD",INDEX('AP Plants'!A:A,MATCH(G107,'AP Plants'!D:D,0)),INDEX('Australia Plants'!A:A,MATCH(G107,'Australia Plants'!D:D,0)))</f>
        <v>Staxx</v>
      </c>
      <c r="K107" s="73">
        <v>1</v>
      </c>
      <c r="L107" s="97">
        <v>1455</v>
      </c>
      <c r="M107" s="97">
        <v>1006.5</v>
      </c>
      <c r="N107" s="99">
        <v>0.27113208406198797</v>
      </c>
      <c r="O107" s="25">
        <f t="shared" si="39"/>
        <v>0.30824742268041239</v>
      </c>
      <c r="P107" s="14">
        <f>IFERROR(IF(OR(B107&amp;C107="PAU",B107&amp;C107="AIN"),VLOOKUP(B107&amp;C107&amp;G107,#REF!,8,0),VLOOKUP(B107&amp;G107,#REF!,8,0)),0)</f>
        <v>0</v>
      </c>
      <c r="Q107" s="15">
        <f t="shared" si="34"/>
        <v>0.27113208406198797</v>
      </c>
      <c r="R107" s="16" t="str">
        <f t="shared" si="40"/>
        <v>AOP</v>
      </c>
      <c r="S107" s="17">
        <f t="shared" si="41"/>
        <v>272.89444260839088</v>
      </c>
      <c r="T107" s="18">
        <f t="shared" si="42"/>
        <v>272.89444260839088</v>
      </c>
      <c r="U107" s="23">
        <f t="shared" si="36"/>
        <v>1006.5</v>
      </c>
      <c r="Y107" s="8" t="str">
        <f t="shared" si="43"/>
        <v>AVNH65543MPC15</v>
      </c>
      <c r="Z107" s="8" t="str">
        <f>IF(Y107='Input - Bookings'!D100,"OK","Check")</f>
        <v>Check</v>
      </c>
      <c r="AA107" s="139"/>
      <c r="AB107" s="103"/>
      <c r="AC107" s="103"/>
      <c r="AD107" s="100">
        <f t="shared" si="51"/>
        <v>712.23840523457204</v>
      </c>
      <c r="AE107" s="100"/>
      <c r="AF107" s="8" t="str">
        <f t="array" ref="AF107">_xlfn.XLOOKUP($G107,'AP Plants'!D:D,'AP Plants'!B:B)</f>
        <v>Class 3</v>
      </c>
      <c r="AG107" s="102"/>
      <c r="AH107" s="102">
        <f t="shared" si="50"/>
        <v>712.23840523457204</v>
      </c>
      <c r="AI107" s="44">
        <v>1.4999999999999999E-2</v>
      </c>
      <c r="AJ107" s="15">
        <f>_xlfn.XLOOKUP($AF107,Warranty!B:B,Warranty!E:E)</f>
        <v>1.4999999999999999E-2</v>
      </c>
      <c r="AK107" s="8">
        <f>IF($I107="AUD",VLOOKUP(RIGHT('Wk - Margins'!$G107,3),'AU Freight'!C:G,5,0),0)</f>
        <v>0</v>
      </c>
      <c r="AL107" s="15">
        <f t="shared" si="44"/>
        <v>0</v>
      </c>
      <c r="AM107" s="61">
        <f t="shared" si="45"/>
        <v>733.60555739160907</v>
      </c>
      <c r="AN107" s="63">
        <f t="shared" si="49"/>
        <v>0.27113208406198797</v>
      </c>
      <c r="AQ107" s="147"/>
    </row>
    <row r="108" spans="1:43">
      <c r="A108" s="10" t="str">
        <f>'Input - Bookings'!A108</f>
        <v>10-11</v>
      </c>
      <c r="B108" s="11" t="str">
        <f>'Input - Bookings'!C108</f>
        <v>A</v>
      </c>
      <c r="C108" s="11" t="str">
        <f>'Input - Bookings'!H108</f>
        <v>VN</v>
      </c>
      <c r="D108" s="24" t="str">
        <f>'Input - Bookings'!E108</f>
        <v>067</v>
      </c>
      <c r="E108" s="24" t="str">
        <f>'Input - Bookings'!G108</f>
        <v>KY LUC CO., LTD</v>
      </c>
      <c r="F108" s="146" t="str">
        <f>'Input - Bookings'!I108</f>
        <v>H65544</v>
      </c>
      <c r="G108" s="24" t="str">
        <f>'Input - Bookings'!L108</f>
        <v>A3D4</v>
      </c>
      <c r="H108" s="24" t="str">
        <f>'Input - Bookings'!M108</f>
        <v>MPC15</v>
      </c>
      <c r="I108" s="24" t="str">
        <f>'Input - Bookings'!B108</f>
        <v>USD</v>
      </c>
      <c r="J108" s="13" t="str">
        <f>IF(I108="USD",INDEX('AP Plants'!A:A,MATCH(G108,'AP Plants'!D:D,0)),INDEX('Australia Plants'!A:A,MATCH(G108,'Australia Plants'!D:D,0)))</f>
        <v>Staxx</v>
      </c>
      <c r="K108" s="73">
        <v>1</v>
      </c>
      <c r="L108" s="97">
        <v>1455</v>
      </c>
      <c r="M108" s="97">
        <v>1006.5</v>
      </c>
      <c r="N108" s="99">
        <v>0.27113208406198797</v>
      </c>
      <c r="O108" s="25">
        <f t="shared" si="39"/>
        <v>0.30824742268041239</v>
      </c>
      <c r="P108" s="14">
        <f>IFERROR(IF(OR(B108&amp;C108="PAU",B108&amp;C108="AIN"),VLOOKUP(B108&amp;C108&amp;G108,#REF!,8,0),VLOOKUP(B108&amp;G108,#REF!,8,0)),0)</f>
        <v>0</v>
      </c>
      <c r="Q108" s="15">
        <f t="shared" si="34"/>
        <v>0.27113208406198797</v>
      </c>
      <c r="R108" s="16" t="str">
        <f t="shared" si="40"/>
        <v>AOP</v>
      </c>
      <c r="S108" s="17">
        <f t="shared" si="41"/>
        <v>272.89444260839088</v>
      </c>
      <c r="T108" s="18">
        <f t="shared" si="42"/>
        <v>272.89444260839088</v>
      </c>
      <c r="U108" s="23">
        <f t="shared" si="36"/>
        <v>1006.5</v>
      </c>
      <c r="Y108" s="8" t="str">
        <f t="shared" si="43"/>
        <v>AVNH65544MPC15</v>
      </c>
      <c r="Z108" s="8" t="str">
        <f>IF(Y108='Input - Bookings'!Q101,"OK","Check")</f>
        <v>Check</v>
      </c>
      <c r="AA108" s="118"/>
      <c r="AB108" s="103"/>
      <c r="AC108" s="103"/>
      <c r="AD108" s="100">
        <f t="shared" si="51"/>
        <v>712.23840523457204</v>
      </c>
      <c r="AE108" s="100"/>
      <c r="AF108" s="8" t="str">
        <f t="array" ref="AF108">_xlfn.XLOOKUP($G108,'AP Plants'!D:D,'AP Plants'!B:B)</f>
        <v>Class 3</v>
      </c>
      <c r="AG108" s="102"/>
      <c r="AH108" s="102">
        <f t="shared" si="50"/>
        <v>712.23840523457204</v>
      </c>
      <c r="AI108" s="44">
        <v>1.4999999999999999E-2</v>
      </c>
      <c r="AJ108" s="15">
        <f>_xlfn.XLOOKUP($AF108,Warranty!B:B,Warranty!E:E)</f>
        <v>1.4999999999999999E-2</v>
      </c>
      <c r="AK108" s="8">
        <f>IF($I108="AUD",VLOOKUP(RIGHT('Wk - Margins'!$G108,3),'AU Freight'!C:G,5,0),0)</f>
        <v>0</v>
      </c>
      <c r="AL108" s="15">
        <f t="shared" si="44"/>
        <v>0</v>
      </c>
      <c r="AM108" s="61">
        <f t="shared" si="45"/>
        <v>733.60555739160907</v>
      </c>
      <c r="AN108" s="63">
        <f t="shared" si="49"/>
        <v>0.27113208406198797</v>
      </c>
      <c r="AQ108" s="147"/>
    </row>
    <row r="109" spans="1:43">
      <c r="A109" s="10" t="str">
        <f>'Input - Bookings'!A109</f>
        <v>10-11</v>
      </c>
      <c r="B109" s="11" t="str">
        <f>'Input - Bookings'!C109</f>
        <v>A</v>
      </c>
      <c r="C109" s="11" t="str">
        <f>'Input - Bookings'!H109</f>
        <v>VN</v>
      </c>
      <c r="D109" s="24" t="str">
        <f>'Input - Bookings'!E109</f>
        <v>067</v>
      </c>
      <c r="E109" s="24" t="str">
        <f>'Input - Bookings'!G109</f>
        <v>KY LUC CO., LTD</v>
      </c>
      <c r="F109" s="146" t="str">
        <f>'Input - Bookings'!I109</f>
        <v>H65545</v>
      </c>
      <c r="G109" s="24" t="str">
        <f>'Input - Bookings'!L109</f>
        <v>A3D4</v>
      </c>
      <c r="H109" s="24" t="str">
        <f>'Input - Bookings'!M109</f>
        <v>MPC15</v>
      </c>
      <c r="I109" s="24" t="str">
        <f>'Input - Bookings'!B109</f>
        <v>USD</v>
      </c>
      <c r="J109" s="13" t="str">
        <f>IF(I109="USD",INDEX('AP Plants'!A:A,MATCH(G109,'AP Plants'!D:D,0)),INDEX('Australia Plants'!A:A,MATCH(G109,'Australia Plants'!D:D,0)))</f>
        <v>Staxx</v>
      </c>
      <c r="K109" s="73">
        <v>1</v>
      </c>
      <c r="L109" s="97">
        <v>1455</v>
      </c>
      <c r="M109" s="97">
        <v>1006.5</v>
      </c>
      <c r="N109" s="99">
        <v>0.27113208406198797</v>
      </c>
      <c r="O109" s="25">
        <f t="shared" si="39"/>
        <v>0.30824742268041239</v>
      </c>
      <c r="P109" s="14">
        <f>IFERROR(IF(OR(B109&amp;C109="PAU",B109&amp;C109="AIN"),VLOOKUP(B109&amp;C109&amp;G109,#REF!,8,0),VLOOKUP(B109&amp;G109,#REF!,8,0)),0)</f>
        <v>0</v>
      </c>
      <c r="Q109" s="15">
        <f t="shared" si="34"/>
        <v>0.27113208406198797</v>
      </c>
      <c r="R109" s="16" t="str">
        <f t="shared" si="40"/>
        <v>AOP</v>
      </c>
      <c r="S109" s="17">
        <f t="shared" si="41"/>
        <v>272.89444260839088</v>
      </c>
      <c r="T109" s="18">
        <f t="shared" si="42"/>
        <v>272.89444260839088</v>
      </c>
      <c r="U109" s="23">
        <f t="shared" si="36"/>
        <v>1006.5</v>
      </c>
      <c r="Y109" s="8" t="str">
        <f t="shared" si="43"/>
        <v>AVNH65545MPC15</v>
      </c>
      <c r="Z109" s="8" t="str">
        <f>IF(Y109='Input - Bookings'!Q102,"OK","Check")</f>
        <v>Check</v>
      </c>
      <c r="AA109" s="118"/>
      <c r="AB109" s="103"/>
      <c r="AC109" s="103"/>
      <c r="AD109" s="100">
        <f t="shared" si="51"/>
        <v>712.23840523457204</v>
      </c>
      <c r="AE109" s="100"/>
      <c r="AF109" s="8" t="str">
        <f t="array" ref="AF109">_xlfn.XLOOKUP($G109,'AP Plants'!D:D,'AP Plants'!B:B)</f>
        <v>Class 3</v>
      </c>
      <c r="AG109" s="102"/>
      <c r="AH109" s="102">
        <f t="shared" si="50"/>
        <v>712.23840523457204</v>
      </c>
      <c r="AI109" s="44">
        <v>1.4999999999999999E-2</v>
      </c>
      <c r="AJ109" s="15">
        <f>_xlfn.XLOOKUP($AF109,Warranty!B:B,Warranty!E:E)</f>
        <v>1.4999999999999999E-2</v>
      </c>
      <c r="AK109" s="8">
        <f>IF($I109="AUD",VLOOKUP(RIGHT('Wk - Margins'!$G109,3),'AU Freight'!C:G,5,0),0)</f>
        <v>0</v>
      </c>
      <c r="AL109" s="15">
        <f t="shared" si="44"/>
        <v>0</v>
      </c>
      <c r="AM109" s="61">
        <f t="shared" si="45"/>
        <v>733.60555739160907</v>
      </c>
      <c r="AN109" s="63">
        <f t="shared" si="49"/>
        <v>0.27113208406198797</v>
      </c>
      <c r="AQ109" s="147"/>
    </row>
    <row r="110" spans="1:43">
      <c r="A110" s="10" t="str">
        <f>'Input - Bookings'!A110</f>
        <v>10-11</v>
      </c>
      <c r="B110" s="11" t="str">
        <f>'Input - Bookings'!C110</f>
        <v>A</v>
      </c>
      <c r="C110" s="11" t="str">
        <f>'Input - Bookings'!H110</f>
        <v>VN</v>
      </c>
      <c r="D110" s="24" t="str">
        <f>'Input - Bookings'!E110</f>
        <v>067</v>
      </c>
      <c r="E110" s="24" t="str">
        <f>'Input - Bookings'!G110</f>
        <v>KY LUC CO., LTD</v>
      </c>
      <c r="F110" s="146" t="str">
        <f>'Input - Bookings'!I110</f>
        <v>H65546</v>
      </c>
      <c r="G110" s="24" t="str">
        <f>'Input - Bookings'!L110</f>
        <v>A3D4</v>
      </c>
      <c r="H110" s="24" t="str">
        <f>'Input - Bookings'!M110</f>
        <v>MPC15</v>
      </c>
      <c r="I110" s="24" t="str">
        <f>'Input - Bookings'!B110</f>
        <v>USD</v>
      </c>
      <c r="J110" s="13" t="str">
        <f>IF(I110="USD",INDEX('AP Plants'!A:A,MATCH(G110,'AP Plants'!D:D,0)),INDEX('Australia Plants'!A:A,MATCH(G110,'Australia Plants'!D:D,0)))</f>
        <v>Staxx</v>
      </c>
      <c r="K110" s="73">
        <v>1</v>
      </c>
      <c r="L110" s="97">
        <v>1455</v>
      </c>
      <c r="M110" s="97">
        <v>1006.5</v>
      </c>
      <c r="N110" s="99">
        <v>0.27113208406198797</v>
      </c>
      <c r="O110" s="25">
        <f t="shared" si="39"/>
        <v>0.30824742268041239</v>
      </c>
      <c r="P110" s="14">
        <f>IFERROR(IF(OR(B110&amp;C110="PAU",B110&amp;C110="AIN"),VLOOKUP(B110&amp;C110&amp;G110,#REF!,8,0),VLOOKUP(B110&amp;G110,#REF!,8,0)),0)</f>
        <v>0</v>
      </c>
      <c r="Q110" s="15">
        <f t="shared" si="34"/>
        <v>0.27113208406198797</v>
      </c>
      <c r="R110" s="16" t="str">
        <f t="shared" si="40"/>
        <v>AOP</v>
      </c>
      <c r="S110" s="17">
        <f t="shared" si="41"/>
        <v>272.89444260839088</v>
      </c>
      <c r="T110" s="18">
        <f t="shared" si="42"/>
        <v>272.89444260839088</v>
      </c>
      <c r="U110" s="23">
        <f t="shared" si="36"/>
        <v>1006.5</v>
      </c>
      <c r="Y110" s="8" t="str">
        <f t="shared" si="43"/>
        <v>AVNH65546MPC15</v>
      </c>
      <c r="Z110" s="8" t="str">
        <f>IF(Y110='Input - Bookings'!Q103,"OK","Check")</f>
        <v>Check</v>
      </c>
      <c r="AA110" s="118"/>
      <c r="AB110" s="103"/>
      <c r="AC110" s="103"/>
      <c r="AD110" s="100">
        <f t="shared" si="51"/>
        <v>712.23840523457204</v>
      </c>
      <c r="AE110" s="110"/>
      <c r="AF110" s="8" t="str">
        <f t="array" ref="AF110">_xlfn.XLOOKUP($G110,'AP Plants'!D:D,'AP Plants'!B:B)</f>
        <v>Class 3</v>
      </c>
      <c r="AG110" s="102"/>
      <c r="AH110" s="102">
        <f t="shared" si="50"/>
        <v>712.23840523457204</v>
      </c>
      <c r="AI110" s="44">
        <v>1.4999999999999999E-2</v>
      </c>
      <c r="AJ110" s="15">
        <f>_xlfn.XLOOKUP($AF110,Warranty!B:B,Warranty!E:E)</f>
        <v>1.4999999999999999E-2</v>
      </c>
      <c r="AK110" s="8">
        <f>IF($I110="AUD",VLOOKUP(RIGHT('Wk - Margins'!$G110,3),'AU Freight'!C:G,5,0),0)</f>
        <v>0</v>
      </c>
      <c r="AL110" s="15">
        <f t="shared" si="44"/>
        <v>0</v>
      </c>
      <c r="AM110" s="61">
        <f t="shared" si="45"/>
        <v>733.60555739160907</v>
      </c>
      <c r="AN110" s="63">
        <f t="shared" si="49"/>
        <v>0.27113208406198797</v>
      </c>
      <c r="AQ110" s="147"/>
    </row>
    <row r="111" spans="1:43">
      <c r="A111" s="10" t="str">
        <f>'Input - Bookings'!A111</f>
        <v>10-11</v>
      </c>
      <c r="B111" s="11" t="str">
        <f>'Input - Bookings'!C111</f>
        <v>A</v>
      </c>
      <c r="C111" s="11" t="str">
        <f>'Input - Bookings'!H111</f>
        <v>VN</v>
      </c>
      <c r="D111" s="24" t="str">
        <f>'Input - Bookings'!E111</f>
        <v>067</v>
      </c>
      <c r="E111" s="24" t="str">
        <f>'Input - Bookings'!G111</f>
        <v>KY LUC CO., LTD</v>
      </c>
      <c r="F111" s="146" t="str">
        <f>'Input - Bookings'!I111</f>
        <v>H65547</v>
      </c>
      <c r="G111" s="24" t="str">
        <f>'Input - Bookings'!L111</f>
        <v>A3D4</v>
      </c>
      <c r="H111" s="24" t="str">
        <f>'Input - Bookings'!M111</f>
        <v>MPC15</v>
      </c>
      <c r="I111" s="24" t="str">
        <f>'Input - Bookings'!B111</f>
        <v>USD</v>
      </c>
      <c r="J111" s="13" t="str">
        <f>IF(I111="USD",INDEX('AP Plants'!A:A,MATCH(G111,'AP Plants'!D:D,0)),INDEX('Australia Plants'!A:A,MATCH(G111,'Australia Plants'!D:D,0)))</f>
        <v>Staxx</v>
      </c>
      <c r="K111" s="73">
        <v>1</v>
      </c>
      <c r="L111" s="97">
        <v>1455</v>
      </c>
      <c r="M111" s="97">
        <v>1006.5</v>
      </c>
      <c r="N111" s="99">
        <v>0.27113208406198797</v>
      </c>
      <c r="O111" s="25">
        <f t="shared" si="39"/>
        <v>0.30824742268041239</v>
      </c>
      <c r="P111" s="14">
        <f>IFERROR(IF(OR(B111&amp;C111="PAU",B111&amp;C111="AIN"),VLOOKUP(B111&amp;C111&amp;G111,#REF!,8,0),VLOOKUP(B111&amp;G111,#REF!,8,0)),0)</f>
        <v>0</v>
      </c>
      <c r="Q111" s="15">
        <f t="shared" si="34"/>
        <v>0.27113208406198797</v>
      </c>
      <c r="R111" s="16" t="str">
        <f t="shared" si="40"/>
        <v>AOP</v>
      </c>
      <c r="S111" s="17">
        <f t="shared" si="41"/>
        <v>272.89444260839088</v>
      </c>
      <c r="T111" s="18">
        <f t="shared" si="42"/>
        <v>272.89444260839088</v>
      </c>
      <c r="U111" s="23">
        <f t="shared" si="36"/>
        <v>1006.5</v>
      </c>
      <c r="Y111" s="8" t="str">
        <f t="shared" si="43"/>
        <v>AVNH65547MPC15</v>
      </c>
      <c r="Z111" s="8" t="str">
        <f>IF(Y111='Input - Bookings'!Q104,"OK","Check")</f>
        <v>Check</v>
      </c>
      <c r="AA111" s="140"/>
      <c r="AB111" s="103"/>
      <c r="AC111" s="103"/>
      <c r="AD111" s="100">
        <f t="shared" si="51"/>
        <v>712.23840523457204</v>
      </c>
      <c r="AE111" s="100"/>
      <c r="AF111" s="8" t="str">
        <f t="array" ref="AF111">_xlfn.XLOOKUP($G111,'AP Plants'!D:D,'AP Plants'!B:B)</f>
        <v>Class 3</v>
      </c>
      <c r="AG111" s="102"/>
      <c r="AH111" s="102">
        <f t="shared" si="50"/>
        <v>712.23840523457204</v>
      </c>
      <c r="AI111" s="44">
        <v>1.4999999999999999E-2</v>
      </c>
      <c r="AJ111" s="15">
        <f>_xlfn.XLOOKUP($AF111,Warranty!B:B,Warranty!E:E)</f>
        <v>1.4999999999999999E-2</v>
      </c>
      <c r="AK111" s="8">
        <f>IF($I111="AUD",VLOOKUP(RIGHT('Wk - Margins'!$G111,3),'AU Freight'!C:G,5,0),0)</f>
        <v>0</v>
      </c>
      <c r="AL111" s="15">
        <f t="shared" si="44"/>
        <v>0</v>
      </c>
      <c r="AM111" s="61">
        <f t="shared" si="45"/>
        <v>733.60555739160907</v>
      </c>
      <c r="AN111" s="63">
        <f t="shared" si="49"/>
        <v>0.27113208406198797</v>
      </c>
      <c r="AQ111" s="147"/>
    </row>
    <row r="112" spans="1:43">
      <c r="A112" s="10" t="str">
        <f>'Input - Bookings'!A112</f>
        <v>10-11</v>
      </c>
      <c r="B112" s="11" t="str">
        <f>'Input - Bookings'!C112</f>
        <v>A</v>
      </c>
      <c r="C112" s="11" t="str">
        <f>'Input - Bookings'!H112</f>
        <v>VN</v>
      </c>
      <c r="D112" s="24" t="str">
        <f>'Input - Bookings'!E112</f>
        <v>067</v>
      </c>
      <c r="E112" s="24" t="str">
        <f>'Input - Bookings'!G112</f>
        <v>KY LUC CO., LTD</v>
      </c>
      <c r="F112" s="146" t="str">
        <f>'Input - Bookings'!I112</f>
        <v>H65548</v>
      </c>
      <c r="G112" s="24" t="str">
        <f>'Input - Bookings'!L112</f>
        <v>A3D4</v>
      </c>
      <c r="H112" s="24" t="str">
        <f>'Input - Bookings'!M112</f>
        <v>MPC15</v>
      </c>
      <c r="I112" s="24" t="str">
        <f>'Input - Bookings'!B112</f>
        <v>USD</v>
      </c>
      <c r="J112" s="13" t="str">
        <f>IF(I112="USD",INDEX('AP Plants'!A:A,MATCH(G112,'AP Plants'!D:D,0)),INDEX('Australia Plants'!A:A,MATCH(G112,'Australia Plants'!D:D,0)))</f>
        <v>Staxx</v>
      </c>
      <c r="K112" s="73">
        <v>1</v>
      </c>
      <c r="L112" s="97">
        <v>1455</v>
      </c>
      <c r="M112" s="97">
        <v>1006.5</v>
      </c>
      <c r="N112" s="99">
        <v>0.27113208406198797</v>
      </c>
      <c r="O112" s="25">
        <f t="shared" si="39"/>
        <v>0.30824742268041239</v>
      </c>
      <c r="P112" s="14">
        <f>IFERROR(IF(OR(B112&amp;C112="PAU",B112&amp;C112="AIN"),VLOOKUP(B112&amp;C112&amp;G112,#REF!,8,0),VLOOKUP(B112&amp;G112,#REF!,8,0)),0)</f>
        <v>0</v>
      </c>
      <c r="Q112" s="15">
        <f t="shared" si="34"/>
        <v>0.27113208406198797</v>
      </c>
      <c r="R112" s="16" t="str">
        <f t="shared" si="40"/>
        <v>AOP</v>
      </c>
      <c r="S112" s="17">
        <f t="shared" si="41"/>
        <v>272.89444260839088</v>
      </c>
      <c r="T112" s="18">
        <f t="shared" si="42"/>
        <v>272.89444260839088</v>
      </c>
      <c r="U112" s="23">
        <f t="shared" si="36"/>
        <v>1006.5</v>
      </c>
      <c r="Y112" s="8" t="str">
        <f t="shared" si="43"/>
        <v>AVNH65548MPC15</v>
      </c>
      <c r="Z112" s="8" t="str">
        <f>IF(Y112='Input - Bookings'!Q105,"OK","Check")</f>
        <v>Check</v>
      </c>
      <c r="AA112" s="139"/>
      <c r="AB112" s="103"/>
      <c r="AC112" s="103"/>
      <c r="AD112" s="100">
        <f t="shared" si="51"/>
        <v>712.23840523457204</v>
      </c>
      <c r="AE112" s="98"/>
      <c r="AF112" s="8" t="str">
        <f t="array" ref="AF112">_xlfn.XLOOKUP($G112,'AP Plants'!D:D,'AP Plants'!B:B)</f>
        <v>Class 3</v>
      </c>
      <c r="AG112" s="102"/>
      <c r="AH112" s="102">
        <f t="shared" si="50"/>
        <v>712.23840523457204</v>
      </c>
      <c r="AI112" s="44">
        <v>1.4999999999999999E-2</v>
      </c>
      <c r="AJ112" s="15">
        <f>_xlfn.XLOOKUP($AF112,Warranty!B:B,Warranty!E:E)</f>
        <v>1.4999999999999999E-2</v>
      </c>
      <c r="AK112" s="8">
        <f>IF($I112="AUD",VLOOKUP(RIGHT('Wk - Margins'!$G112,3),'AU Freight'!C:G,5,0),0)</f>
        <v>0</v>
      </c>
      <c r="AL112" s="15">
        <f t="shared" si="44"/>
        <v>0</v>
      </c>
      <c r="AM112" s="61">
        <f t="shared" si="45"/>
        <v>733.60555739160907</v>
      </c>
      <c r="AN112" s="63">
        <f t="shared" si="49"/>
        <v>0.27113208406198797</v>
      </c>
      <c r="AQ112" s="147"/>
    </row>
    <row r="113" spans="1:43">
      <c r="A113" s="10" t="str">
        <f>'Input - Bookings'!A113</f>
        <v>10-11</v>
      </c>
      <c r="B113" s="11" t="str">
        <f>'Input - Bookings'!C113</f>
        <v>A</v>
      </c>
      <c r="C113" s="11" t="str">
        <f>'Input - Bookings'!H113</f>
        <v>VN</v>
      </c>
      <c r="D113" s="24" t="str">
        <f>'Input - Bookings'!E113</f>
        <v>067</v>
      </c>
      <c r="E113" s="24" t="str">
        <f>'Input - Bookings'!G113</f>
        <v>KY LUC CO., LTD</v>
      </c>
      <c r="F113" s="146" t="str">
        <f>'Input - Bookings'!I113</f>
        <v>H65549</v>
      </c>
      <c r="G113" s="24" t="str">
        <f>'Input - Bookings'!L113</f>
        <v>A3D4</v>
      </c>
      <c r="H113" s="24" t="str">
        <f>'Input - Bookings'!M113</f>
        <v>MPC15</v>
      </c>
      <c r="I113" s="24" t="str">
        <f>'Input - Bookings'!B113</f>
        <v>USD</v>
      </c>
      <c r="J113" s="13" t="str">
        <f>IF(I113="USD",INDEX('AP Plants'!A:A,MATCH(G113,'AP Plants'!D:D,0)),INDEX('Australia Plants'!A:A,MATCH(G113,'Australia Plants'!D:D,0)))</f>
        <v>Staxx</v>
      </c>
      <c r="K113" s="73">
        <v>1</v>
      </c>
      <c r="L113" s="97">
        <v>1455</v>
      </c>
      <c r="M113" s="97">
        <v>1006.5</v>
      </c>
      <c r="N113" s="99">
        <v>0.27113208406198797</v>
      </c>
      <c r="O113" s="25">
        <f t="shared" si="39"/>
        <v>0.30824742268041239</v>
      </c>
      <c r="P113" s="14">
        <f>IFERROR(IF(OR(B113&amp;C113="PAU",B113&amp;C113="AIN"),VLOOKUP(B113&amp;C113&amp;G113,#REF!,8,0),VLOOKUP(B113&amp;G113,#REF!,8,0)),0)</f>
        <v>0</v>
      </c>
      <c r="Q113" s="15">
        <f t="shared" si="34"/>
        <v>0.27113208406198797</v>
      </c>
      <c r="R113" s="16" t="str">
        <f t="shared" si="40"/>
        <v>AOP</v>
      </c>
      <c r="S113" s="17">
        <f t="shared" si="41"/>
        <v>272.89444260839088</v>
      </c>
      <c r="T113" s="18">
        <f t="shared" si="42"/>
        <v>272.89444260839088</v>
      </c>
      <c r="U113" s="23">
        <f t="shared" si="36"/>
        <v>1006.5</v>
      </c>
      <c r="Y113" s="8" t="str">
        <f t="shared" si="43"/>
        <v>AVNH65549MPC15</v>
      </c>
      <c r="Z113" s="8" t="str">
        <f>IF(Y113='Input - Bookings'!Q106,"OK","Check")</f>
        <v>Check</v>
      </c>
      <c r="AA113" s="118"/>
      <c r="AB113" s="103"/>
      <c r="AC113" s="103"/>
      <c r="AD113" s="100">
        <f t="shared" si="51"/>
        <v>712.23840523457204</v>
      </c>
      <c r="AE113" s="110"/>
      <c r="AF113" s="8" t="str">
        <f t="array" ref="AF113">_xlfn.XLOOKUP($G113,'AP Plants'!D:D,'AP Plants'!B:B)</f>
        <v>Class 3</v>
      </c>
      <c r="AG113" s="102"/>
      <c r="AH113" s="102">
        <f t="shared" si="50"/>
        <v>712.23840523457204</v>
      </c>
      <c r="AI113" s="44">
        <v>1.4999999999999999E-2</v>
      </c>
      <c r="AJ113" s="15">
        <f>_xlfn.XLOOKUP($AF113,Warranty!B:B,Warranty!E:E)</f>
        <v>1.4999999999999999E-2</v>
      </c>
      <c r="AK113" s="8">
        <f>IF($I113="AUD",VLOOKUP(RIGHT('Wk - Margins'!$G113,3),'AU Freight'!C:G,5,0),0)</f>
        <v>0</v>
      </c>
      <c r="AL113" s="15">
        <f t="shared" si="44"/>
        <v>0</v>
      </c>
      <c r="AM113" s="61">
        <f t="shared" si="45"/>
        <v>733.60555739160907</v>
      </c>
      <c r="AN113" s="63">
        <f t="shared" si="49"/>
        <v>0.27113208406198797</v>
      </c>
      <c r="AQ113" s="147"/>
    </row>
    <row r="114" spans="1:43">
      <c r="A114" s="10" t="str">
        <f>'Input - Bookings'!A114</f>
        <v>10-11</v>
      </c>
      <c r="B114" s="11" t="str">
        <f>'Input - Bookings'!C114</f>
        <v>A</v>
      </c>
      <c r="C114" s="11" t="str">
        <f>'Input - Bookings'!H114</f>
        <v>VN</v>
      </c>
      <c r="D114" s="24" t="str">
        <f>'Input - Bookings'!E114</f>
        <v>067</v>
      </c>
      <c r="E114" s="24" t="str">
        <f>'Input - Bookings'!G114</f>
        <v>KY LUC CO., LTD</v>
      </c>
      <c r="F114" s="146" t="str">
        <f>'Input - Bookings'!I114</f>
        <v>H65550</v>
      </c>
      <c r="G114" s="24" t="str">
        <f>'Input - Bookings'!L114</f>
        <v>A3D4</v>
      </c>
      <c r="H114" s="24" t="str">
        <f>'Input - Bookings'!M114</f>
        <v>MPC15</v>
      </c>
      <c r="I114" s="24" t="str">
        <f>'Input - Bookings'!B114</f>
        <v>USD</v>
      </c>
      <c r="J114" s="13" t="str">
        <f>IF(I114="USD",INDEX('AP Plants'!A:A,MATCH(G114,'AP Plants'!D:D,0)),INDEX('Australia Plants'!A:A,MATCH(G114,'Australia Plants'!D:D,0)))</f>
        <v>Staxx</v>
      </c>
      <c r="K114" s="73">
        <v>1</v>
      </c>
      <c r="L114" s="97">
        <v>1455</v>
      </c>
      <c r="M114" s="97">
        <v>1006.5</v>
      </c>
      <c r="N114" s="99">
        <v>0.27113208406198797</v>
      </c>
      <c r="O114" s="25">
        <f t="shared" si="39"/>
        <v>0.30824742268041239</v>
      </c>
      <c r="P114" s="14">
        <f>IFERROR(IF(OR(B114&amp;C114="PAU",B114&amp;C114="AIN"),VLOOKUP(B114&amp;C114&amp;G114,#REF!,8,0),VLOOKUP(B114&amp;G114,#REF!,8,0)),0)</f>
        <v>0</v>
      </c>
      <c r="Q114" s="15">
        <f t="shared" si="34"/>
        <v>0.27113208406198797</v>
      </c>
      <c r="R114" s="16" t="str">
        <f t="shared" si="40"/>
        <v>AOP</v>
      </c>
      <c r="S114" s="17">
        <f t="shared" si="41"/>
        <v>272.89444260839088</v>
      </c>
      <c r="T114" s="18">
        <f t="shared" si="42"/>
        <v>272.89444260839088</v>
      </c>
      <c r="U114" s="23">
        <f t="shared" si="36"/>
        <v>1006.5</v>
      </c>
      <c r="Y114" s="8" t="str">
        <f t="shared" si="43"/>
        <v>AVNH65550MPC15</v>
      </c>
      <c r="Z114" s="8" t="str">
        <f>IF(Y114='Input - Bookings'!Q107,"OK","Check")</f>
        <v>Check</v>
      </c>
      <c r="AA114" s="139"/>
      <c r="AB114" s="103"/>
      <c r="AC114" s="103"/>
      <c r="AD114" s="100">
        <f t="shared" si="51"/>
        <v>712.23840523457204</v>
      </c>
      <c r="AE114" s="100"/>
      <c r="AF114" s="8" t="str">
        <f t="array" ref="AF114">_xlfn.XLOOKUP($G114,'AP Plants'!D:D,'AP Plants'!B:B)</f>
        <v>Class 3</v>
      </c>
      <c r="AG114" s="102"/>
      <c r="AH114" s="102">
        <f t="shared" si="50"/>
        <v>712.23840523457204</v>
      </c>
      <c r="AI114" s="44">
        <v>1.4999999999999999E-2</v>
      </c>
      <c r="AJ114" s="15">
        <f>_xlfn.XLOOKUP($AF114,Warranty!B:B,Warranty!E:E)</f>
        <v>1.4999999999999999E-2</v>
      </c>
      <c r="AK114" s="8">
        <f>IF($I114="AUD",VLOOKUP(RIGHT('Wk - Margins'!$G114,3),'AU Freight'!C:G,5,0),0)</f>
        <v>0</v>
      </c>
      <c r="AL114" s="15">
        <f t="shared" si="44"/>
        <v>0</v>
      </c>
      <c r="AM114" s="61">
        <f t="shared" si="45"/>
        <v>733.60555739160907</v>
      </c>
      <c r="AN114" s="63">
        <f t="shared" si="49"/>
        <v>0.27113208406198797</v>
      </c>
      <c r="AQ114" s="147"/>
    </row>
    <row r="115" spans="1:43">
      <c r="A115" s="10" t="str">
        <f>'Input - Bookings'!A115</f>
        <v>10-11</v>
      </c>
      <c r="B115" s="11" t="str">
        <f>'Input - Bookings'!C115</f>
        <v>A</v>
      </c>
      <c r="C115" s="11" t="str">
        <f>'Input - Bookings'!H115</f>
        <v>VN</v>
      </c>
      <c r="D115" s="24" t="str">
        <f>'Input - Bookings'!E115</f>
        <v>067</v>
      </c>
      <c r="E115" s="24" t="str">
        <f>'Input - Bookings'!G115</f>
        <v>KY LUC CO., LTD</v>
      </c>
      <c r="F115" s="146" t="str">
        <f>'Input - Bookings'!I115</f>
        <v>H65551</v>
      </c>
      <c r="G115" s="24" t="str">
        <f>'Input - Bookings'!L115</f>
        <v>A3D4</v>
      </c>
      <c r="H115" s="24" t="str">
        <f>'Input - Bookings'!M115</f>
        <v>MPC15</v>
      </c>
      <c r="I115" s="24" t="str">
        <f>'Input - Bookings'!B115</f>
        <v>USD</v>
      </c>
      <c r="J115" s="13" t="str">
        <f>IF(I115="USD",INDEX('AP Plants'!A:A,MATCH(G115,'AP Plants'!D:D,0)),INDEX('Australia Plants'!A:A,MATCH(G115,'Australia Plants'!D:D,0)))</f>
        <v>Staxx</v>
      </c>
      <c r="K115" s="73">
        <v>1</v>
      </c>
      <c r="L115" s="97">
        <v>1455</v>
      </c>
      <c r="M115" s="97">
        <v>1006.5</v>
      </c>
      <c r="N115" s="99">
        <v>0.27113208406198797</v>
      </c>
      <c r="O115" s="25">
        <f t="shared" si="39"/>
        <v>0.30824742268041239</v>
      </c>
      <c r="P115" s="14">
        <f>IFERROR(IF(OR(B115&amp;C115="PAU",B115&amp;C115="AIN"),VLOOKUP(B115&amp;C115&amp;G115,#REF!,8,0),VLOOKUP(B115&amp;G115,#REF!,8,0)),0)</f>
        <v>0</v>
      </c>
      <c r="Q115" s="15">
        <f t="shared" si="34"/>
        <v>0.27113208406198797</v>
      </c>
      <c r="R115" s="16" t="str">
        <f t="shared" si="40"/>
        <v>AOP</v>
      </c>
      <c r="S115" s="17">
        <f t="shared" si="41"/>
        <v>272.89444260839088</v>
      </c>
      <c r="T115" s="18">
        <f t="shared" si="42"/>
        <v>272.89444260839088</v>
      </c>
      <c r="U115" s="23">
        <f t="shared" si="36"/>
        <v>1006.5</v>
      </c>
      <c r="Y115" s="8" t="str">
        <f t="shared" si="43"/>
        <v>AVNH65551MPC15</v>
      </c>
      <c r="Z115" s="8" t="str">
        <f>IF(Y115='Input - Bookings'!Q108,"OK","Check")</f>
        <v>Check</v>
      </c>
      <c r="AA115" s="118"/>
      <c r="AB115" s="103"/>
      <c r="AC115" s="103"/>
      <c r="AD115" s="100">
        <f t="shared" si="51"/>
        <v>712.23840523457204</v>
      </c>
      <c r="AE115" s="98"/>
      <c r="AF115" s="8" t="str">
        <f t="array" ref="AF115">_xlfn.XLOOKUP($G115,'AP Plants'!D:D,'AP Plants'!B:B)</f>
        <v>Class 3</v>
      </c>
      <c r="AG115" s="102"/>
      <c r="AH115" s="102">
        <f t="shared" si="50"/>
        <v>712.23840523457204</v>
      </c>
      <c r="AI115" s="44">
        <v>1.4999999999999999E-2</v>
      </c>
      <c r="AJ115" s="15">
        <f>_xlfn.XLOOKUP($AF115,Warranty!B:B,Warranty!E:E)</f>
        <v>1.4999999999999999E-2</v>
      </c>
      <c r="AK115" s="8">
        <f>IF($I115="AUD",VLOOKUP(RIGHT('Wk - Margins'!$G115,3),'AU Freight'!C:G,5,0),0)</f>
        <v>0</v>
      </c>
      <c r="AL115" s="15">
        <f t="shared" si="44"/>
        <v>0</v>
      </c>
      <c r="AM115" s="61">
        <f t="shared" si="45"/>
        <v>733.60555739160907</v>
      </c>
      <c r="AN115" s="63">
        <f t="shared" si="49"/>
        <v>0.27113208406198797</v>
      </c>
      <c r="AQ115" s="147"/>
    </row>
    <row r="116" spans="1:43">
      <c r="A116" s="10" t="str">
        <f>'Input - Bookings'!A116</f>
        <v>10-11</v>
      </c>
      <c r="B116" s="11" t="str">
        <f>'Input - Bookings'!C116</f>
        <v>A</v>
      </c>
      <c r="C116" s="11" t="str">
        <f>'Input - Bookings'!H116</f>
        <v>VN</v>
      </c>
      <c r="D116" s="24" t="str">
        <f>'Input - Bookings'!E116</f>
        <v>067</v>
      </c>
      <c r="E116" s="24" t="str">
        <f>'Input - Bookings'!G116</f>
        <v>KY LUC CO., LTD</v>
      </c>
      <c r="F116" s="146" t="str">
        <f>'Input - Bookings'!I116</f>
        <v>H65552</v>
      </c>
      <c r="G116" s="24" t="str">
        <f>'Input - Bookings'!L116</f>
        <v>A3D4</v>
      </c>
      <c r="H116" s="24" t="str">
        <f>'Input - Bookings'!M116</f>
        <v>MPC15</v>
      </c>
      <c r="I116" s="24" t="str">
        <f>'Input - Bookings'!B116</f>
        <v>USD</v>
      </c>
      <c r="J116" s="13" t="str">
        <f>IF(I116="USD",INDEX('AP Plants'!A:A,MATCH(G116,'AP Plants'!D:D,0)),INDEX('Australia Plants'!A:A,MATCH(G116,'Australia Plants'!D:D,0)))</f>
        <v>Staxx</v>
      </c>
      <c r="K116" s="73">
        <v>1</v>
      </c>
      <c r="L116" s="97">
        <v>1455</v>
      </c>
      <c r="M116" s="97">
        <v>1006.5</v>
      </c>
      <c r="N116" s="99">
        <v>0.27113208406198797</v>
      </c>
      <c r="O116" s="25">
        <f t="shared" si="39"/>
        <v>0.30824742268041239</v>
      </c>
      <c r="P116" s="14">
        <f>IFERROR(IF(OR(B116&amp;C116="PAU",B116&amp;C116="AIN"),VLOOKUP(B116&amp;C116&amp;G116,#REF!,8,0),VLOOKUP(B116&amp;G116,#REF!,8,0)),0)</f>
        <v>0</v>
      </c>
      <c r="Q116" s="15">
        <f t="shared" ref="Q116:Q179" si="52">N116-P116</f>
        <v>0.27113208406198797</v>
      </c>
      <c r="R116" s="16" t="str">
        <f t="shared" si="40"/>
        <v>AOP</v>
      </c>
      <c r="S116" s="17">
        <f t="shared" si="41"/>
        <v>272.89444260839088</v>
      </c>
      <c r="T116" s="18">
        <f t="shared" si="42"/>
        <v>272.89444260839088</v>
      </c>
      <c r="U116" s="23">
        <f t="shared" si="36"/>
        <v>1006.5</v>
      </c>
      <c r="Y116" s="8" t="str">
        <f t="shared" si="43"/>
        <v>AVNH65552MPC15</v>
      </c>
      <c r="Z116" s="8" t="str">
        <f>IF(Y116='Input - Bookings'!Q109,"OK","Check")</f>
        <v>Check</v>
      </c>
      <c r="AA116" s="118"/>
      <c r="AB116" s="103"/>
      <c r="AC116" s="103"/>
      <c r="AD116" s="100">
        <f t="shared" si="51"/>
        <v>712.23840523457204</v>
      </c>
      <c r="AE116" s="100"/>
      <c r="AF116" s="8" t="str">
        <f t="array" ref="AF116">_xlfn.XLOOKUP($G116,'AP Plants'!D:D,'AP Plants'!B:B)</f>
        <v>Class 3</v>
      </c>
      <c r="AG116" s="102"/>
      <c r="AH116" s="102">
        <f t="shared" si="50"/>
        <v>712.23840523457204</v>
      </c>
      <c r="AI116" s="44">
        <v>1.4999999999999999E-2</v>
      </c>
      <c r="AJ116" s="15">
        <f>_xlfn.XLOOKUP($AF116,Warranty!B:B,Warranty!E:E)</f>
        <v>1.4999999999999999E-2</v>
      </c>
      <c r="AK116" s="8">
        <f>IF($I116="AUD",VLOOKUP(RIGHT('Wk - Margins'!$G116,3),'AU Freight'!C:G,5,0),0)</f>
        <v>0</v>
      </c>
      <c r="AL116" s="15">
        <f t="shared" si="44"/>
        <v>0</v>
      </c>
      <c r="AM116" s="61">
        <f t="shared" si="45"/>
        <v>733.60555739160907</v>
      </c>
      <c r="AN116" s="63">
        <f t="shared" si="49"/>
        <v>0.27113208406198797</v>
      </c>
      <c r="AQ116" s="147"/>
    </row>
    <row r="117" spans="1:43">
      <c r="A117" s="10" t="str">
        <f>'Input - Bookings'!A117</f>
        <v>10-11</v>
      </c>
      <c r="B117" s="11" t="str">
        <f>'Input - Bookings'!C117</f>
        <v>A</v>
      </c>
      <c r="C117" s="11" t="str">
        <f>'Input - Bookings'!H117</f>
        <v>VN</v>
      </c>
      <c r="D117" s="24" t="str">
        <f>'Input - Bookings'!E117</f>
        <v>067</v>
      </c>
      <c r="E117" s="24" t="str">
        <f>'Input - Bookings'!G117</f>
        <v>KY LUC CO., LTD</v>
      </c>
      <c r="F117" s="146" t="str">
        <f>'Input - Bookings'!I117</f>
        <v>H65553</v>
      </c>
      <c r="G117" s="24" t="str">
        <f>'Input - Bookings'!L117</f>
        <v>A3D4</v>
      </c>
      <c r="H117" s="24" t="str">
        <f>'Input - Bookings'!M117</f>
        <v>MPC15</v>
      </c>
      <c r="I117" s="24" t="str">
        <f>'Input - Bookings'!B117</f>
        <v>USD</v>
      </c>
      <c r="J117" s="13" t="str">
        <f>IF(I117="USD",INDEX('AP Plants'!A:A,MATCH(G117,'AP Plants'!D:D,0)),INDEX('Australia Plants'!A:A,MATCH(G117,'Australia Plants'!D:D,0)))</f>
        <v>Staxx</v>
      </c>
      <c r="K117" s="73">
        <v>1</v>
      </c>
      <c r="L117" s="97">
        <v>1455</v>
      </c>
      <c r="M117" s="97">
        <v>1006.5</v>
      </c>
      <c r="N117" s="99">
        <v>0.27113208406198797</v>
      </c>
      <c r="O117" s="25">
        <f t="shared" si="39"/>
        <v>0.30824742268041239</v>
      </c>
      <c r="P117" s="14">
        <f>IFERROR(IF(OR(B117&amp;C117="PAU",B117&amp;C117="AIN"),VLOOKUP(B117&amp;C117&amp;G117,#REF!,8,0),VLOOKUP(B117&amp;G117,#REF!,8,0)),0)</f>
        <v>0</v>
      </c>
      <c r="Q117" s="15">
        <f t="shared" si="52"/>
        <v>0.27113208406198797</v>
      </c>
      <c r="R117" s="16" t="str">
        <f t="shared" si="40"/>
        <v>AOP</v>
      </c>
      <c r="S117" s="17">
        <f t="shared" si="41"/>
        <v>272.89444260839088</v>
      </c>
      <c r="T117" s="18">
        <f t="shared" si="42"/>
        <v>272.89444260839088</v>
      </c>
      <c r="U117" s="23">
        <f t="shared" si="36"/>
        <v>1006.5</v>
      </c>
      <c r="Y117" s="8" t="str">
        <f t="shared" si="43"/>
        <v>AVNH65553MPC15</v>
      </c>
      <c r="Z117" s="8" t="str">
        <f>IF(Y117='Input - Bookings'!Q110,"OK","Check")</f>
        <v>Check</v>
      </c>
      <c r="AA117" s="118"/>
      <c r="AB117" s="103"/>
      <c r="AC117" s="103"/>
      <c r="AD117" s="100">
        <f t="shared" si="51"/>
        <v>712.23840523457204</v>
      </c>
      <c r="AE117" s="100"/>
      <c r="AF117" s="8" t="str">
        <f t="array" ref="AF117">_xlfn.XLOOKUP($G117,'AP Plants'!D:D,'AP Plants'!B:B)</f>
        <v>Class 3</v>
      </c>
      <c r="AG117" s="102"/>
      <c r="AH117" s="102">
        <f t="shared" si="50"/>
        <v>712.23840523457204</v>
      </c>
      <c r="AI117" s="44">
        <v>1.4999999999999999E-2</v>
      </c>
      <c r="AJ117" s="15">
        <f>_xlfn.XLOOKUP($AF117,Warranty!B:B,Warranty!E:E)</f>
        <v>1.4999999999999999E-2</v>
      </c>
      <c r="AK117" s="8">
        <f>IF($I117="AUD",VLOOKUP(RIGHT('Wk - Margins'!$G117,3),'AU Freight'!C:G,5,0),0)</f>
        <v>0</v>
      </c>
      <c r="AL117" s="15">
        <f t="shared" si="44"/>
        <v>0</v>
      </c>
      <c r="AM117" s="61">
        <f t="shared" si="45"/>
        <v>733.60555739160907</v>
      </c>
      <c r="AN117" s="63">
        <f t="shared" si="49"/>
        <v>0.27113208406198797</v>
      </c>
      <c r="AQ117" s="147"/>
    </row>
    <row r="118" spans="1:43">
      <c r="A118" s="10" t="str">
        <f>'Input - Bookings'!A118</f>
        <v>10-11</v>
      </c>
      <c r="B118" s="11" t="str">
        <f>'Input - Bookings'!C118</f>
        <v>A</v>
      </c>
      <c r="C118" s="11" t="str">
        <f>'Input - Bookings'!H118</f>
        <v>VN</v>
      </c>
      <c r="D118" s="24" t="str">
        <f>'Input - Bookings'!E118</f>
        <v>067</v>
      </c>
      <c r="E118" s="24" t="str">
        <f>'Input - Bookings'!G118</f>
        <v>KY LUC CO., LTD</v>
      </c>
      <c r="F118" s="146" t="str">
        <f>'Input - Bookings'!I118</f>
        <v>H65554</v>
      </c>
      <c r="G118" s="24" t="str">
        <f>'Input - Bookings'!L118</f>
        <v>A3D4</v>
      </c>
      <c r="H118" s="24" t="str">
        <f>'Input - Bookings'!M118</f>
        <v>MPC15</v>
      </c>
      <c r="I118" s="24" t="str">
        <f>'Input - Bookings'!B118</f>
        <v>USD</v>
      </c>
      <c r="J118" s="13" t="str">
        <f>IF(I118="USD",INDEX('AP Plants'!A:A,MATCH(G118,'AP Plants'!D:D,0)),INDEX('Australia Plants'!A:A,MATCH(G118,'Australia Plants'!D:D,0)))</f>
        <v>Staxx</v>
      </c>
      <c r="K118" s="73">
        <v>1</v>
      </c>
      <c r="L118" s="97">
        <v>1455</v>
      </c>
      <c r="M118" s="97">
        <v>1006.5</v>
      </c>
      <c r="N118" s="99">
        <v>0.27113208406198797</v>
      </c>
      <c r="O118" s="25">
        <f t="shared" si="39"/>
        <v>0.30824742268041239</v>
      </c>
      <c r="P118" s="14">
        <f>IFERROR(IF(OR(B118&amp;C118="PAU",B118&amp;C118="AIN"),VLOOKUP(B118&amp;C118&amp;G118,#REF!,8,0),VLOOKUP(B118&amp;G118,#REF!,8,0)),0)</f>
        <v>0</v>
      </c>
      <c r="Q118" s="15">
        <f t="shared" si="52"/>
        <v>0.27113208406198797</v>
      </c>
      <c r="R118" s="16" t="str">
        <f t="shared" si="40"/>
        <v>AOP</v>
      </c>
      <c r="S118" s="17">
        <f t="shared" si="41"/>
        <v>272.89444260839088</v>
      </c>
      <c r="T118" s="18">
        <f t="shared" si="42"/>
        <v>272.89444260839088</v>
      </c>
      <c r="U118" s="23">
        <f t="shared" si="36"/>
        <v>1006.5</v>
      </c>
      <c r="Y118" s="8" t="str">
        <f t="shared" si="43"/>
        <v>AVNH65554MPC15</v>
      </c>
      <c r="Z118" s="8" t="str">
        <f>IF(Y118='Input - Bookings'!Q111,"OK","Check")</f>
        <v>Check</v>
      </c>
      <c r="AA118" s="118"/>
      <c r="AB118" s="103"/>
      <c r="AC118" s="103"/>
      <c r="AD118" s="100">
        <f t="shared" si="51"/>
        <v>712.23840523457204</v>
      </c>
      <c r="AE118" s="100"/>
      <c r="AF118" s="8" t="str">
        <f t="array" ref="AF118">_xlfn.XLOOKUP($G118,'AP Plants'!D:D,'AP Plants'!B:B)</f>
        <v>Class 3</v>
      </c>
      <c r="AG118" s="102"/>
      <c r="AH118" s="102">
        <f t="shared" si="50"/>
        <v>712.23840523457204</v>
      </c>
      <c r="AI118" s="44">
        <v>1.4999999999999999E-2</v>
      </c>
      <c r="AJ118" s="15">
        <f>_xlfn.XLOOKUP($AF118,Warranty!B:B,Warranty!E:E)</f>
        <v>1.4999999999999999E-2</v>
      </c>
      <c r="AK118" s="8">
        <f>IF($I118="AUD",VLOOKUP(RIGHT('Wk - Margins'!$G118,3),'AU Freight'!C:G,5,0),0)</f>
        <v>0</v>
      </c>
      <c r="AL118" s="15">
        <f t="shared" si="44"/>
        <v>0</v>
      </c>
      <c r="AM118" s="61">
        <f t="shared" si="45"/>
        <v>733.60555739160907</v>
      </c>
      <c r="AN118" s="63">
        <f t="shared" si="49"/>
        <v>0.27113208406198797</v>
      </c>
      <c r="AQ118" s="147"/>
    </row>
    <row r="119" spans="1:43">
      <c r="A119" s="10" t="str">
        <f>'Input - Bookings'!A119</f>
        <v>10-11</v>
      </c>
      <c r="B119" s="11" t="str">
        <f>'Input - Bookings'!C119</f>
        <v>A</v>
      </c>
      <c r="C119" s="11" t="str">
        <f>'Input - Bookings'!H119</f>
        <v>VN</v>
      </c>
      <c r="D119" s="24" t="str">
        <f>'Input - Bookings'!E119</f>
        <v>067</v>
      </c>
      <c r="E119" s="24" t="str">
        <f>'Input - Bookings'!G119</f>
        <v>KY LUC CO., LTD</v>
      </c>
      <c r="F119" s="146" t="str">
        <f>'Input - Bookings'!I119</f>
        <v>H65555</v>
      </c>
      <c r="G119" s="24" t="str">
        <f>'Input - Bookings'!L119</f>
        <v>A3D4</v>
      </c>
      <c r="H119" s="24" t="str">
        <f>'Input - Bookings'!M119</f>
        <v>MPC15</v>
      </c>
      <c r="I119" s="24" t="str">
        <f>'Input - Bookings'!B119</f>
        <v>USD</v>
      </c>
      <c r="J119" s="13" t="str">
        <f>IF(I119="USD",INDEX('AP Plants'!A:A,MATCH(G119,'AP Plants'!D:D,0)),INDEX('Australia Plants'!A:A,MATCH(G119,'Australia Plants'!D:D,0)))</f>
        <v>Staxx</v>
      </c>
      <c r="K119" s="73">
        <v>1</v>
      </c>
      <c r="L119" s="97">
        <v>1455</v>
      </c>
      <c r="M119" s="97">
        <v>1006.5</v>
      </c>
      <c r="N119" s="99">
        <v>0.27113208406198797</v>
      </c>
      <c r="O119" s="25">
        <f t="shared" si="39"/>
        <v>0.30824742268041239</v>
      </c>
      <c r="P119" s="14">
        <f>IFERROR(IF(OR(B119&amp;C119="PAU",B119&amp;C119="AIN"),VLOOKUP(B119&amp;C119&amp;G119,#REF!,8,0),VLOOKUP(B119&amp;G119,#REF!,8,0)),0)</f>
        <v>0</v>
      </c>
      <c r="Q119" s="15">
        <f t="shared" si="52"/>
        <v>0.27113208406198797</v>
      </c>
      <c r="R119" s="16" t="str">
        <f t="shared" si="40"/>
        <v>AOP</v>
      </c>
      <c r="S119" s="17">
        <f t="shared" si="41"/>
        <v>272.89444260839088</v>
      </c>
      <c r="T119" s="18">
        <f t="shared" si="42"/>
        <v>272.89444260839088</v>
      </c>
      <c r="U119" s="23">
        <f t="shared" si="36"/>
        <v>1006.5</v>
      </c>
      <c r="Y119" s="8" t="str">
        <f t="shared" si="43"/>
        <v>AVNH65555MPC15</v>
      </c>
      <c r="Z119" s="8" t="str">
        <f>IF(Y119='Input - Bookings'!Q112,"OK","Check")</f>
        <v>Check</v>
      </c>
      <c r="AA119" s="118"/>
      <c r="AB119" s="103"/>
      <c r="AC119" s="103"/>
      <c r="AD119" s="100">
        <f t="shared" si="51"/>
        <v>712.23840523457204</v>
      </c>
      <c r="AE119" s="100"/>
      <c r="AF119" s="8" t="str">
        <f t="array" ref="AF119">_xlfn.XLOOKUP($G119,'AP Plants'!D:D,'AP Plants'!B:B)</f>
        <v>Class 3</v>
      </c>
      <c r="AG119" s="102"/>
      <c r="AH119" s="102">
        <f t="shared" si="50"/>
        <v>712.23840523457204</v>
      </c>
      <c r="AI119" s="44">
        <v>1.4999999999999999E-2</v>
      </c>
      <c r="AJ119" s="15">
        <f>_xlfn.XLOOKUP($AF119,Warranty!B:B,Warranty!E:E)</f>
        <v>1.4999999999999999E-2</v>
      </c>
      <c r="AK119" s="8">
        <f>IF($I119="AUD",VLOOKUP(RIGHT('Wk - Margins'!$G119,3),'AU Freight'!C:G,5,0),0)</f>
        <v>0</v>
      </c>
      <c r="AL119" s="15">
        <f t="shared" si="44"/>
        <v>0</v>
      </c>
      <c r="AM119" s="61">
        <f t="shared" si="45"/>
        <v>733.60555739160907</v>
      </c>
      <c r="AN119" s="63">
        <f t="shared" si="49"/>
        <v>0.27113208406198797</v>
      </c>
      <c r="AQ119" s="147"/>
    </row>
    <row r="120" spans="1:43">
      <c r="A120" s="10" t="str">
        <f>'Input - Bookings'!A120</f>
        <v>10-11</v>
      </c>
      <c r="B120" s="11" t="str">
        <f>'Input - Bookings'!C120</f>
        <v>A</v>
      </c>
      <c r="C120" s="11" t="str">
        <f>'Input - Bookings'!H120</f>
        <v>VN</v>
      </c>
      <c r="D120" s="24" t="str">
        <f>'Input - Bookings'!E120</f>
        <v>067</v>
      </c>
      <c r="E120" s="24" t="str">
        <f>'Input - Bookings'!G120</f>
        <v>KY LUC CO., LTD</v>
      </c>
      <c r="F120" s="146" t="str">
        <f>'Input - Bookings'!I120</f>
        <v>H65556</v>
      </c>
      <c r="G120" s="24" t="str">
        <f>'Input - Bookings'!L120</f>
        <v>A3D4</v>
      </c>
      <c r="H120" s="24" t="str">
        <f>'Input - Bookings'!M120</f>
        <v>MPC15</v>
      </c>
      <c r="I120" s="24" t="str">
        <f>'Input - Bookings'!B120</f>
        <v>USD</v>
      </c>
      <c r="J120" s="13" t="str">
        <f>IF(I120="USD",INDEX('AP Plants'!A:A,MATCH(G120,'AP Plants'!D:D,0)),INDEX('Australia Plants'!A:A,MATCH(G120,'Australia Plants'!D:D,0)))</f>
        <v>Staxx</v>
      </c>
      <c r="K120" s="73">
        <v>1</v>
      </c>
      <c r="L120" s="97">
        <v>1455</v>
      </c>
      <c r="M120" s="97">
        <v>1006.5</v>
      </c>
      <c r="N120" s="99">
        <v>0.27113208406198797</v>
      </c>
      <c r="O120" s="25">
        <f t="shared" si="39"/>
        <v>0.30824742268041239</v>
      </c>
      <c r="P120" s="14">
        <f>IFERROR(IF(OR(B120&amp;C120="PAU",B120&amp;C120="AIN"),VLOOKUP(B120&amp;C120&amp;G120,#REF!,8,0),VLOOKUP(B120&amp;G120,#REF!,8,0)),0)</f>
        <v>0</v>
      </c>
      <c r="Q120" s="15">
        <f t="shared" si="52"/>
        <v>0.27113208406198797</v>
      </c>
      <c r="R120" s="16" t="str">
        <f t="shared" si="40"/>
        <v>AOP</v>
      </c>
      <c r="S120" s="17">
        <f t="shared" si="41"/>
        <v>272.89444260839088</v>
      </c>
      <c r="T120" s="18">
        <f t="shared" si="42"/>
        <v>272.89444260839088</v>
      </c>
      <c r="U120" s="23">
        <f t="shared" si="36"/>
        <v>1006.5</v>
      </c>
      <c r="Y120" s="8" t="str">
        <f t="shared" si="43"/>
        <v>AVNH65556MPC15</v>
      </c>
      <c r="Z120" s="8" t="str">
        <f>IF(Y120='Input - Bookings'!Q113,"OK","Check")</f>
        <v>Check</v>
      </c>
      <c r="AA120" s="118"/>
      <c r="AB120" s="103"/>
      <c r="AC120" s="103"/>
      <c r="AD120" s="100">
        <f t="shared" si="51"/>
        <v>712.23840523457204</v>
      </c>
      <c r="AE120" s="98"/>
      <c r="AF120" s="8" t="str">
        <f t="array" ref="AF120">_xlfn.XLOOKUP($G120,'AP Plants'!D:D,'AP Plants'!B:B)</f>
        <v>Class 3</v>
      </c>
      <c r="AG120" s="102"/>
      <c r="AH120" s="102">
        <f t="shared" si="50"/>
        <v>712.23840523457204</v>
      </c>
      <c r="AI120" s="44">
        <v>1.4999999999999999E-2</v>
      </c>
      <c r="AJ120" s="15">
        <f>_xlfn.XLOOKUP($AF120,Warranty!B:B,Warranty!E:E)</f>
        <v>1.4999999999999999E-2</v>
      </c>
      <c r="AK120" s="8">
        <f>IF($I120="AUD",VLOOKUP(RIGHT('Wk - Margins'!$G120,3),'AU Freight'!C:G,5,0),0)</f>
        <v>0</v>
      </c>
      <c r="AL120" s="15">
        <f t="shared" si="44"/>
        <v>0</v>
      </c>
      <c r="AM120" s="61">
        <f t="shared" si="45"/>
        <v>733.60555739160907</v>
      </c>
      <c r="AN120" s="63">
        <f t="shared" si="49"/>
        <v>0.27113208406198797</v>
      </c>
      <c r="AQ120" s="147"/>
    </row>
    <row r="121" spans="1:43">
      <c r="A121" s="10" t="str">
        <f>'Input - Bookings'!A121</f>
        <v>10-11</v>
      </c>
      <c r="B121" s="11" t="str">
        <f>'Input - Bookings'!C121</f>
        <v>A</v>
      </c>
      <c r="C121" s="11" t="str">
        <f>'Input - Bookings'!H121</f>
        <v>VN</v>
      </c>
      <c r="D121" s="24" t="str">
        <f>'Input - Bookings'!E121</f>
        <v>067</v>
      </c>
      <c r="E121" s="24" t="str">
        <f>'Input - Bookings'!G121</f>
        <v>KY LUC CO., LTD</v>
      </c>
      <c r="F121" s="146" t="str">
        <f>'Input - Bookings'!I121</f>
        <v>H65557</v>
      </c>
      <c r="G121" s="24" t="str">
        <f>'Input - Bookings'!L121</f>
        <v>A3D4</v>
      </c>
      <c r="H121" s="24" t="str">
        <f>'Input - Bookings'!M121</f>
        <v>MPC15</v>
      </c>
      <c r="I121" s="24" t="str">
        <f>'Input - Bookings'!B121</f>
        <v>USD</v>
      </c>
      <c r="J121" s="13" t="str">
        <f>IF(I121="USD",INDEX('AP Plants'!A:A,MATCH(G121,'AP Plants'!D:D,0)),INDEX('Australia Plants'!A:A,MATCH(G121,'Australia Plants'!D:D,0)))</f>
        <v>Staxx</v>
      </c>
      <c r="K121" s="73">
        <v>1</v>
      </c>
      <c r="L121" s="97">
        <v>1455</v>
      </c>
      <c r="M121" s="97">
        <v>1006.5</v>
      </c>
      <c r="N121" s="99">
        <v>0.27113208406198797</v>
      </c>
      <c r="O121" s="25">
        <f t="shared" si="39"/>
        <v>0.30824742268041239</v>
      </c>
      <c r="P121" s="14">
        <f>IFERROR(IF(OR(B121&amp;C121="PAU",B121&amp;C121="AIN"),VLOOKUP(B121&amp;C121&amp;G121,#REF!,8,0),VLOOKUP(B121&amp;G121,#REF!,8,0)),0)</f>
        <v>0</v>
      </c>
      <c r="Q121" s="15">
        <f t="shared" si="52"/>
        <v>0.27113208406198797</v>
      </c>
      <c r="R121" s="16" t="str">
        <f t="shared" si="40"/>
        <v>AOP</v>
      </c>
      <c r="S121" s="17">
        <f t="shared" si="41"/>
        <v>272.89444260839088</v>
      </c>
      <c r="T121" s="18">
        <f t="shared" si="42"/>
        <v>272.89444260839088</v>
      </c>
      <c r="U121" s="23">
        <f t="shared" si="36"/>
        <v>1006.5</v>
      </c>
      <c r="Y121" s="8" t="str">
        <f t="shared" si="43"/>
        <v>AVNH65557MPC15</v>
      </c>
      <c r="Z121" s="8" t="str">
        <f>IF(Y121='Input - Bookings'!Q114,"OK","Check")</f>
        <v>Check</v>
      </c>
      <c r="AA121" s="140"/>
      <c r="AB121" s="103"/>
      <c r="AC121" s="103"/>
      <c r="AD121" s="100">
        <f t="shared" si="51"/>
        <v>712.23840523457204</v>
      </c>
      <c r="AE121" s="98"/>
      <c r="AF121" s="8" t="str">
        <f t="array" ref="AF121">_xlfn.XLOOKUP($G121,'AP Plants'!D:D,'AP Plants'!B:B)</f>
        <v>Class 3</v>
      </c>
      <c r="AG121" s="102"/>
      <c r="AH121" s="102">
        <f t="shared" si="50"/>
        <v>712.23840523457204</v>
      </c>
      <c r="AI121" s="44">
        <v>1.4999999999999999E-2</v>
      </c>
      <c r="AJ121" s="15">
        <f>_xlfn.XLOOKUP($AF121,Warranty!B:B,Warranty!E:E)</f>
        <v>1.4999999999999999E-2</v>
      </c>
      <c r="AK121" s="8">
        <f>IF($I121="AUD",VLOOKUP(RIGHT('Wk - Margins'!$G121,3),'AU Freight'!C:G,5,0),0)</f>
        <v>0</v>
      </c>
      <c r="AL121" s="15">
        <f t="shared" si="44"/>
        <v>0</v>
      </c>
      <c r="AM121" s="61">
        <f t="shared" si="45"/>
        <v>733.60555739160907</v>
      </c>
      <c r="AN121" s="63">
        <f t="shared" si="49"/>
        <v>0.27113208406198797</v>
      </c>
      <c r="AQ121" s="147"/>
    </row>
    <row r="122" spans="1:43">
      <c r="A122" s="10" t="str">
        <f>'Input - Bookings'!A122</f>
        <v>10-12</v>
      </c>
      <c r="B122" s="11" t="str">
        <f>'Input - Bookings'!C122</f>
        <v>A</v>
      </c>
      <c r="C122" s="11" t="str">
        <f>'Input - Bookings'!H122</f>
        <v>TH</v>
      </c>
      <c r="D122" s="24" t="str">
        <f>'Input - Bookings'!E122</f>
        <v>065</v>
      </c>
      <c r="E122" s="24" t="str">
        <f>'Input - Bookings'!G122</f>
        <v>DILOK AND SONS CO.,LTD.</v>
      </c>
      <c r="F122" s="24" t="str">
        <f>'Input - Bookings'!I122</f>
        <v>H65582</v>
      </c>
      <c r="G122" s="24" t="str">
        <f>'Input - Bookings'!L122</f>
        <v>A406</v>
      </c>
      <c r="H122" s="24" t="str">
        <f>'Input - Bookings'!M122</f>
        <v>R1.6 406</v>
      </c>
      <c r="I122" s="24" t="str">
        <f>'Input - Bookings'!B122</f>
        <v>USD</v>
      </c>
      <c r="J122" s="13" t="str">
        <f>IF(I122="USD",INDEX('AP Plants'!A:A,MATCH(G122,'AP Plants'!D:D,0)),INDEX('Australia Plants'!A:A,MATCH(G122,'Australia Plants'!D:D,0)))</f>
        <v>Maximal</v>
      </c>
      <c r="K122" s="73">
        <v>1</v>
      </c>
      <c r="L122" s="97">
        <v>35780</v>
      </c>
      <c r="M122" s="97">
        <v>24152.400000000001</v>
      </c>
      <c r="N122" s="99">
        <v>8.6061097598377434E-2</v>
      </c>
      <c r="O122" s="25">
        <f t="shared" si="39"/>
        <v>0.32497484628283957</v>
      </c>
      <c r="P122" s="14">
        <f>IFERROR(IF(OR(B122&amp;C122="PAU",B122&amp;C122="AIN"),VLOOKUP(B122&amp;C122&amp;G122,#REF!,8,0),VLOOKUP(B122&amp;G122,#REF!,8,0)),0)</f>
        <v>0</v>
      </c>
      <c r="Q122" s="15">
        <f t="shared" si="52"/>
        <v>8.6061097598377434E-2</v>
      </c>
      <c r="R122" s="16" t="str">
        <f t="shared" si="40"/>
        <v>AOP</v>
      </c>
      <c r="S122" s="17">
        <f t="shared" si="41"/>
        <v>2078.5820536350511</v>
      </c>
      <c r="T122" s="18">
        <f t="shared" si="42"/>
        <v>2078.5820536350511</v>
      </c>
      <c r="U122" s="23">
        <f t="shared" si="36"/>
        <v>24152.400000000001</v>
      </c>
      <c r="Y122" s="8" t="str">
        <f t="shared" si="43"/>
        <v>ATHH65582R1.6 406</v>
      </c>
      <c r="Z122" s="8" t="str">
        <f>IF(Y122='Input - Bookings'!Q115,"OK","Check")</f>
        <v>Check</v>
      </c>
      <c r="AA122" s="139"/>
      <c r="AB122" s="103"/>
      <c r="AC122" s="103"/>
      <c r="AD122" s="100">
        <v>21430.891210063062</v>
      </c>
      <c r="AE122" s="98"/>
      <c r="AF122" s="8" t="str">
        <f t="array" ref="AF122">_xlfn.XLOOKUP($G122,'AP Plants'!D:D,'AP Plants'!B:B)</f>
        <v>Class 2</v>
      </c>
      <c r="AG122" s="102"/>
      <c r="AH122" s="102">
        <f t="shared" si="50"/>
        <v>21430.891210063062</v>
      </c>
      <c r="AI122" s="44">
        <v>1.4999999999999999E-2</v>
      </c>
      <c r="AJ122" s="15">
        <f>_xlfn.XLOOKUP($AF122,Warranty!B:B,Warranty!E:E)</f>
        <v>1.4999999999999999E-2</v>
      </c>
      <c r="AK122" s="8">
        <f>IF($I122="AUD",VLOOKUP(RIGHT('Wk - Margins'!$G122,3),'AU Freight'!C:G,5,0),0)</f>
        <v>0</v>
      </c>
      <c r="AL122" s="15">
        <f t="shared" si="44"/>
        <v>0</v>
      </c>
      <c r="AM122" s="61">
        <f t="shared" si="45"/>
        <v>22073.81794636495</v>
      </c>
      <c r="AN122" s="63">
        <f t="shared" si="49"/>
        <v>8.6061097598377434E-2</v>
      </c>
      <c r="AQ122" s="147"/>
    </row>
    <row r="123" spans="1:43">
      <c r="A123" s="10" t="str">
        <f>'Input - Bookings'!A123</f>
        <v>10-12</v>
      </c>
      <c r="B123" s="11" t="str">
        <f>'Input - Bookings'!C123</f>
        <v>A</v>
      </c>
      <c r="C123" s="11" t="str">
        <f>'Input - Bookings'!H123</f>
        <v>TH</v>
      </c>
      <c r="D123" s="24" t="str">
        <f>'Input - Bookings'!E123</f>
        <v>065</v>
      </c>
      <c r="E123" s="24" t="str">
        <f>'Input - Bookings'!G123</f>
        <v>DILOK AND SONS CO.,LTD.</v>
      </c>
      <c r="F123" s="24" t="str">
        <f>'Input - Bookings'!I123</f>
        <v>H65583</v>
      </c>
      <c r="G123" s="24" t="str">
        <f>'Input - Bookings'!L123</f>
        <v>A406</v>
      </c>
      <c r="H123" s="24" t="str">
        <f>'Input - Bookings'!M123</f>
        <v>R1.6 406</v>
      </c>
      <c r="I123" s="24" t="str">
        <f>'Input - Bookings'!B123</f>
        <v>USD</v>
      </c>
      <c r="J123" s="13" t="str">
        <f>IF(I123="USD",INDEX('AP Plants'!A:A,MATCH(G123,'AP Plants'!D:D,0)),INDEX('Australia Plants'!A:A,MATCH(G123,'Australia Plants'!D:D,0)))</f>
        <v>Maximal</v>
      </c>
      <c r="K123" s="73">
        <v>1</v>
      </c>
      <c r="L123" s="97">
        <v>35780</v>
      </c>
      <c r="M123" s="97">
        <v>24152.400000000001</v>
      </c>
      <c r="N123" s="99">
        <v>8.6061097598377434E-2</v>
      </c>
      <c r="O123" s="25">
        <f t="shared" si="39"/>
        <v>0.32497484628283957</v>
      </c>
      <c r="P123" s="14">
        <f>IFERROR(IF(OR(B123&amp;C123="PAU",B123&amp;C123="AIN"),VLOOKUP(B123&amp;C123&amp;G123,#REF!,8,0),VLOOKUP(B123&amp;G123,#REF!,8,0)),0)</f>
        <v>0</v>
      </c>
      <c r="Q123" s="15">
        <f t="shared" si="52"/>
        <v>8.6061097598377434E-2</v>
      </c>
      <c r="R123" s="16" t="str">
        <f t="shared" si="40"/>
        <v>AOP</v>
      </c>
      <c r="S123" s="17">
        <f t="shared" si="41"/>
        <v>2078.5820536350511</v>
      </c>
      <c r="T123" s="18">
        <f t="shared" si="42"/>
        <v>2078.5820536350511</v>
      </c>
      <c r="U123" s="23">
        <f t="shared" si="36"/>
        <v>24152.400000000001</v>
      </c>
      <c r="Y123" s="8" t="str">
        <f t="shared" si="43"/>
        <v>ATHH65583R1.6 406</v>
      </c>
      <c r="Z123" s="8" t="str">
        <f>IF(Y123='Input - Bookings'!Q116,"OK","Check")</f>
        <v>Check</v>
      </c>
      <c r="AA123" s="118"/>
      <c r="AB123" s="103"/>
      <c r="AC123" s="103"/>
      <c r="AD123" s="100">
        <v>21430.891210063062</v>
      </c>
      <c r="AE123" s="100"/>
      <c r="AF123" s="8" t="str">
        <f t="array" ref="AF123">_xlfn.XLOOKUP($G123,'AP Plants'!D:D,'AP Plants'!B:B)</f>
        <v>Class 2</v>
      </c>
      <c r="AG123" s="102"/>
      <c r="AH123" s="102">
        <f t="shared" si="50"/>
        <v>21430.891210063062</v>
      </c>
      <c r="AI123" s="44">
        <v>1.4999999999999999E-2</v>
      </c>
      <c r="AJ123" s="15">
        <f>_xlfn.XLOOKUP($AF123,Warranty!B:B,Warranty!E:E)</f>
        <v>1.4999999999999999E-2</v>
      </c>
      <c r="AK123" s="8">
        <f>IF($I123="AUD",VLOOKUP(RIGHT('Wk - Margins'!$G123,3),'AU Freight'!C:G,5,0),0)</f>
        <v>0</v>
      </c>
      <c r="AL123" s="15">
        <f t="shared" si="44"/>
        <v>0</v>
      </c>
      <c r="AM123" s="61">
        <f t="shared" si="45"/>
        <v>22073.81794636495</v>
      </c>
      <c r="AN123" s="63">
        <f t="shared" si="49"/>
        <v>8.6061097598377434E-2</v>
      </c>
      <c r="AQ123" s="147"/>
    </row>
    <row r="124" spans="1:43">
      <c r="A124" s="10" t="str">
        <f>'Input - Bookings'!A124</f>
        <v>10-13</v>
      </c>
      <c r="B124" s="11" t="str">
        <f>'Input - Bookings'!C124</f>
        <v>A</v>
      </c>
      <c r="C124" s="11" t="str">
        <f>'Input - Bookings'!H124</f>
        <v>TH</v>
      </c>
      <c r="D124" s="24" t="str">
        <f>'Input - Bookings'!E124</f>
        <v>065</v>
      </c>
      <c r="E124" s="24" t="str">
        <f>'Input - Bookings'!G124</f>
        <v>DILOK AND SONS CO.,LTD.</v>
      </c>
      <c r="F124" s="24" t="str">
        <f>'Input - Bookings'!I124</f>
        <v>H65792</v>
      </c>
      <c r="G124" s="24" t="str">
        <f>'Input - Bookings'!L124</f>
        <v>C225</v>
      </c>
      <c r="H124" s="24" t="str">
        <f>'Input - Bookings'!M124</f>
        <v>J2.5GX</v>
      </c>
      <c r="I124" s="24" t="str">
        <f>'Input - Bookings'!B124</f>
        <v>USD</v>
      </c>
      <c r="J124" s="13" t="str">
        <f>IF(I124="USD",INDEX('AP Plants'!A:A,MATCH(G124,'AP Plants'!D:D,0)),INDEX('Australia Plants'!A:A,MATCH(G124,'Australia Plants'!D:D,0)))</f>
        <v>SN</v>
      </c>
      <c r="K124" s="73">
        <v>1</v>
      </c>
      <c r="L124" s="97">
        <v>36920</v>
      </c>
      <c r="M124" s="97">
        <v>22212.174999999999</v>
      </c>
      <c r="N124" s="99">
        <v>0.19450048658093466</v>
      </c>
      <c r="O124" s="25">
        <f t="shared" si="39"/>
        <v>0.39837012459371612</v>
      </c>
      <c r="P124" s="14">
        <f>IFERROR(IF(OR(B124&amp;C124="PAU",B124&amp;C124="AIN"),VLOOKUP(B124&amp;C124&amp;G124,#REF!,8,0),VLOOKUP(B124&amp;G124,#REF!,8,0)),0)</f>
        <v>0</v>
      </c>
      <c r="Q124" s="15">
        <f t="shared" si="52"/>
        <v>0.19450048658093466</v>
      </c>
      <c r="R124" s="16" t="str">
        <f t="shared" si="40"/>
        <v>AOP</v>
      </c>
      <c r="S124" s="17">
        <f t="shared" si="41"/>
        <v>4320.278845520872</v>
      </c>
      <c r="T124" s="18">
        <f t="shared" si="42"/>
        <v>4320.278845520872</v>
      </c>
      <c r="U124" s="23">
        <f t="shared" si="36"/>
        <v>22212.174999999999</v>
      </c>
      <c r="Y124" s="8" t="str">
        <f t="shared" si="43"/>
        <v>ATHH65792J2.5GX</v>
      </c>
      <c r="Z124" s="8" t="str">
        <f>IF(Y124='Input - Bookings'!Q117,"OK","Check")</f>
        <v>Check</v>
      </c>
      <c r="AA124" s="118"/>
      <c r="AB124" s="103"/>
      <c r="AC124" s="103"/>
      <c r="AD124" s="100">
        <v>17541.07466125405</v>
      </c>
      <c r="AE124" s="100"/>
      <c r="AF124" s="8" t="str">
        <f t="array" ref="AF124">_xlfn.XLOOKUP($G124,'AP Plants'!D:D,'AP Plants'!B:B)</f>
        <v>Class 1</v>
      </c>
      <c r="AG124" s="102"/>
      <c r="AH124" s="102">
        <f t="shared" si="50"/>
        <v>17541.07466125405</v>
      </c>
      <c r="AI124" s="44">
        <v>1.4999999999999999E-2</v>
      </c>
      <c r="AJ124" s="15">
        <f>_xlfn.XLOOKUP($AF124,Warranty!B:B,Warranty!E:E)</f>
        <v>5.0000000000000001E-3</v>
      </c>
      <c r="AK124" s="8">
        <f>IF($I124="AUD",VLOOKUP(RIGHT('Wk - Margins'!$G124,3),'AU Freight'!C:G,5,0),0)</f>
        <v>0</v>
      </c>
      <c r="AL124" s="15">
        <f t="shared" si="44"/>
        <v>0</v>
      </c>
      <c r="AM124" s="61">
        <f t="shared" si="45"/>
        <v>17891.896154479127</v>
      </c>
      <c r="AN124" s="63">
        <f t="shared" si="49"/>
        <v>0.19450048658093466</v>
      </c>
      <c r="AQ124" s="147"/>
    </row>
    <row r="125" spans="1:43">
      <c r="A125" s="10" t="str">
        <f>'Input - Bookings'!A125</f>
        <v>10-13</v>
      </c>
      <c r="B125" s="11" t="str">
        <f>'Input - Bookings'!C125</f>
        <v>A</v>
      </c>
      <c r="C125" s="11" t="str">
        <f>'Input - Bookings'!H125</f>
        <v>TH</v>
      </c>
      <c r="D125" s="24" t="str">
        <f>'Input - Bookings'!E125</f>
        <v>065</v>
      </c>
      <c r="E125" s="24" t="str">
        <f>'Input - Bookings'!G125</f>
        <v>DILOK AND SONS CO.,LTD.</v>
      </c>
      <c r="F125" s="24" t="str">
        <f>'Input - Bookings'!I125</f>
        <v>H65794</v>
      </c>
      <c r="G125" s="24" t="str">
        <f>'Input - Bookings'!L125</f>
        <v>C225</v>
      </c>
      <c r="H125" s="24" t="str">
        <f>'Input - Bookings'!M125</f>
        <v>J2.5GX</v>
      </c>
      <c r="I125" s="24" t="str">
        <f>'Input - Bookings'!B125</f>
        <v>USD</v>
      </c>
      <c r="J125" s="13" t="str">
        <f>IF(I125="USD",INDEX('AP Plants'!A:A,MATCH(G125,'AP Plants'!D:D,0)),INDEX('Australia Plants'!A:A,MATCH(G125,'Australia Plants'!D:D,0)))</f>
        <v>SN</v>
      </c>
      <c r="K125" s="73">
        <v>1</v>
      </c>
      <c r="L125" s="97">
        <v>36920</v>
      </c>
      <c r="M125" s="97">
        <v>22212.174999999999</v>
      </c>
      <c r="N125" s="99">
        <v>0.19450048658093466</v>
      </c>
      <c r="O125" s="25">
        <f t="shared" si="39"/>
        <v>0.39837012459371612</v>
      </c>
      <c r="P125" s="14">
        <f>IFERROR(IF(OR(B125&amp;C125="PAU",B125&amp;C125="AIN"),VLOOKUP(B125&amp;C125&amp;G125,#REF!,8,0),VLOOKUP(B125&amp;G125,#REF!,8,0)),0)</f>
        <v>0</v>
      </c>
      <c r="Q125" s="15">
        <f t="shared" si="52"/>
        <v>0.19450048658093466</v>
      </c>
      <c r="R125" s="16" t="str">
        <f t="shared" si="40"/>
        <v>AOP</v>
      </c>
      <c r="S125" s="17">
        <f t="shared" si="41"/>
        <v>4320.278845520872</v>
      </c>
      <c r="T125" s="18">
        <f t="shared" si="42"/>
        <v>4320.278845520872</v>
      </c>
      <c r="U125" s="23">
        <f t="shared" si="36"/>
        <v>22212.174999999999</v>
      </c>
      <c r="Y125" s="8" t="str">
        <f t="shared" si="43"/>
        <v>ATHH65794J2.5GX</v>
      </c>
      <c r="Z125" s="8" t="str">
        <f>IF(Y125='Input - Bookings'!Q118,"OK","Check")</f>
        <v>Check</v>
      </c>
      <c r="AA125" s="118"/>
      <c r="AB125" s="103"/>
      <c r="AC125" s="103"/>
      <c r="AD125" s="100">
        <v>17541.07466125405</v>
      </c>
      <c r="AE125" s="100"/>
      <c r="AF125" s="8" t="str">
        <f t="array" ref="AF125">_xlfn.XLOOKUP($G125,'AP Plants'!D:D,'AP Plants'!B:B)</f>
        <v>Class 1</v>
      </c>
      <c r="AG125" s="102"/>
      <c r="AH125" s="102">
        <f t="shared" si="50"/>
        <v>17541.07466125405</v>
      </c>
      <c r="AI125" s="44">
        <v>1.4999999999999999E-2</v>
      </c>
      <c r="AJ125" s="15">
        <f>_xlfn.XLOOKUP($AF125,Warranty!B:B,Warranty!E:E)</f>
        <v>5.0000000000000001E-3</v>
      </c>
      <c r="AK125" s="8">
        <f>IF($I125="AUD",VLOOKUP(RIGHT('Wk - Margins'!$G125,3),'AU Freight'!C:G,5,0),0)</f>
        <v>0</v>
      </c>
      <c r="AL125" s="15">
        <f t="shared" si="44"/>
        <v>0</v>
      </c>
      <c r="AM125" s="61">
        <f t="shared" ref="AM125:AM126" si="53">SUM(AG125:AH125)*(1+AI125+AJ125+AL125)+AK125</f>
        <v>17891.896154479127</v>
      </c>
      <c r="AN125" s="63">
        <f t="shared" si="49"/>
        <v>0.19450048658093466</v>
      </c>
      <c r="AQ125" s="147"/>
    </row>
    <row r="126" spans="1:43">
      <c r="A126" s="10" t="str">
        <f>'Input - Bookings'!A126</f>
        <v>10-13</v>
      </c>
      <c r="B126" s="11" t="str">
        <f>'Input - Bookings'!C126</f>
        <v>A</v>
      </c>
      <c r="C126" s="11" t="str">
        <f>'Input - Bookings'!H126</f>
        <v>TH</v>
      </c>
      <c r="D126" s="24" t="str">
        <f>'Input - Bookings'!E126</f>
        <v>065</v>
      </c>
      <c r="E126" s="24" t="str">
        <f>'Input - Bookings'!G126</f>
        <v>DILOK AND SONS CO.,LTD.</v>
      </c>
      <c r="F126" s="24" t="str">
        <f>'Input - Bookings'!I126</f>
        <v>H65795</v>
      </c>
      <c r="G126" s="24" t="str">
        <f>'Input - Bookings'!L126</f>
        <v>C225</v>
      </c>
      <c r="H126" s="24" t="str">
        <f>'Input - Bookings'!M126</f>
        <v>J2.5GX</v>
      </c>
      <c r="I126" s="24" t="str">
        <f>'Input - Bookings'!B126</f>
        <v>USD</v>
      </c>
      <c r="J126" s="13" t="str">
        <f>IF(I126="USD",INDEX('AP Plants'!A:A,MATCH(G126,'AP Plants'!D:D,0)),INDEX('Australia Plants'!A:A,MATCH(G126,'Australia Plants'!D:D,0)))</f>
        <v>SN</v>
      </c>
      <c r="K126" s="73">
        <v>1</v>
      </c>
      <c r="L126" s="97">
        <v>36920</v>
      </c>
      <c r="M126" s="97">
        <v>22212.174999999999</v>
      </c>
      <c r="N126" s="99">
        <v>0.19450048658093466</v>
      </c>
      <c r="O126" s="25">
        <f t="shared" si="39"/>
        <v>0.39837012459371612</v>
      </c>
      <c r="P126" s="14">
        <f>IFERROR(IF(OR(B126&amp;C126="PAU",B126&amp;C126="AIN"),VLOOKUP(B126&amp;C126&amp;G126,#REF!,8,0),VLOOKUP(B126&amp;G126,#REF!,8,0)),0)</f>
        <v>0</v>
      </c>
      <c r="Q126" s="15">
        <f t="shared" si="52"/>
        <v>0.19450048658093466</v>
      </c>
      <c r="R126" s="16" t="str">
        <f t="shared" si="40"/>
        <v>AOP</v>
      </c>
      <c r="S126" s="17">
        <f t="shared" si="41"/>
        <v>4320.278845520872</v>
      </c>
      <c r="T126" s="18">
        <f t="shared" si="42"/>
        <v>4320.278845520872</v>
      </c>
      <c r="U126" s="23">
        <f t="shared" si="36"/>
        <v>22212.174999999999</v>
      </c>
      <c r="Y126" s="8" t="str">
        <f t="shared" si="43"/>
        <v>ATHH65795J2.5GX</v>
      </c>
      <c r="Z126" s="8" t="str">
        <f>IF(Y126='Input - Bookings'!Q119,"OK","Check")</f>
        <v>Check</v>
      </c>
      <c r="AA126" s="118"/>
      <c r="AB126" s="103"/>
      <c r="AC126" s="103"/>
      <c r="AD126" s="100">
        <v>17541.07466125405</v>
      </c>
      <c r="AE126" s="100"/>
      <c r="AF126" s="8" t="str">
        <f t="array" ref="AF126">_xlfn.XLOOKUP($G126,'AP Plants'!D:D,'AP Plants'!B:B)</f>
        <v>Class 1</v>
      </c>
      <c r="AG126" s="102"/>
      <c r="AH126" s="102">
        <f t="shared" si="50"/>
        <v>17541.07466125405</v>
      </c>
      <c r="AI126" s="44">
        <v>1.4999999999999999E-2</v>
      </c>
      <c r="AJ126" s="15">
        <f>_xlfn.XLOOKUP($AF126,Warranty!B:B,Warranty!E:E)</f>
        <v>5.0000000000000001E-3</v>
      </c>
      <c r="AK126" s="8">
        <f>IF($I126="AUD",VLOOKUP(RIGHT('Wk - Margins'!$G126,3),'AU Freight'!C:G,5,0),0)</f>
        <v>0</v>
      </c>
      <c r="AL126" s="15">
        <f t="shared" si="44"/>
        <v>0</v>
      </c>
      <c r="AM126" s="61">
        <f t="shared" si="53"/>
        <v>17891.896154479127</v>
      </c>
      <c r="AN126" s="63">
        <f t="shared" si="49"/>
        <v>0.19450048658093466</v>
      </c>
      <c r="AQ126" s="147"/>
    </row>
    <row r="127" spans="1:43">
      <c r="A127" s="10" t="str">
        <f>'Input - Bookings'!A127</f>
        <v>10-13</v>
      </c>
      <c r="B127" s="11" t="str">
        <f>'Input - Bookings'!C127</f>
        <v>A</v>
      </c>
      <c r="C127" s="11" t="str">
        <f>'Input - Bookings'!H127</f>
        <v>TH</v>
      </c>
      <c r="D127" s="24" t="str">
        <f>'Input - Bookings'!E127</f>
        <v>065</v>
      </c>
      <c r="E127" s="24" t="str">
        <f>'Input - Bookings'!G127</f>
        <v>DILOK AND SONS CO.,LTD.</v>
      </c>
      <c r="F127" s="24" t="str">
        <f>'Input - Bookings'!I127</f>
        <v>H65796</v>
      </c>
      <c r="G127" s="24" t="str">
        <f>'Input - Bookings'!L127</f>
        <v>C225</v>
      </c>
      <c r="H127" s="24" t="str">
        <f>'Input - Bookings'!M127</f>
        <v>J2.5GX</v>
      </c>
      <c r="I127" s="24" t="str">
        <f>'Input - Bookings'!B127</f>
        <v>USD</v>
      </c>
      <c r="J127" s="13" t="str">
        <f>IF(I127="USD",INDEX('AP Plants'!A:A,MATCH(G127,'AP Plants'!D:D,0)),INDEX('Australia Plants'!A:A,MATCH(G127,'Australia Plants'!D:D,0)))</f>
        <v>SN</v>
      </c>
      <c r="K127" s="73">
        <v>1</v>
      </c>
      <c r="L127" s="97">
        <v>36920</v>
      </c>
      <c r="M127" s="97">
        <v>22212.174999999999</v>
      </c>
      <c r="N127" s="99">
        <v>0.19450048658093466</v>
      </c>
      <c r="O127" s="25">
        <f t="shared" si="39"/>
        <v>0.39837012459371612</v>
      </c>
      <c r="P127" s="14">
        <f>IFERROR(IF(OR(B127&amp;C127="PAU",B127&amp;C127="AIN"),VLOOKUP(B127&amp;C127&amp;G127,#REF!,8,0),VLOOKUP(B127&amp;G127,#REF!,8,0)),0)</f>
        <v>0</v>
      </c>
      <c r="Q127" s="15">
        <f t="shared" si="52"/>
        <v>0.19450048658093466</v>
      </c>
      <c r="R127" s="16" t="str">
        <f t="shared" si="40"/>
        <v>AOP</v>
      </c>
      <c r="S127" s="17">
        <f t="shared" si="41"/>
        <v>4320.278845520872</v>
      </c>
      <c r="T127" s="18">
        <f t="shared" si="42"/>
        <v>4320.278845520872</v>
      </c>
      <c r="U127" s="23">
        <f t="shared" si="36"/>
        <v>22212.174999999999</v>
      </c>
      <c r="Y127" s="8" t="str">
        <f t="shared" si="43"/>
        <v>ATHH65796J2.5GX</v>
      </c>
      <c r="Z127" s="8" t="str">
        <f>IF(Y127='Input - Bookings'!Q120,"OK","Check")</f>
        <v>Check</v>
      </c>
      <c r="AA127" s="118"/>
      <c r="AB127" s="103"/>
      <c r="AC127" s="103"/>
      <c r="AD127" s="100">
        <v>17541.07466125405</v>
      </c>
      <c r="AE127" s="100"/>
      <c r="AF127" s="8" t="str">
        <f t="array" ref="AF127">_xlfn.XLOOKUP($G127,'AP Plants'!D:D,'AP Plants'!B:B)</f>
        <v>Class 1</v>
      </c>
      <c r="AG127" s="102"/>
      <c r="AH127" s="102">
        <f t="shared" si="50"/>
        <v>17541.07466125405</v>
      </c>
      <c r="AI127" s="44">
        <v>1.4999999999999999E-2</v>
      </c>
      <c r="AJ127" s="15">
        <f>_xlfn.XLOOKUP($AF127,Warranty!B:B,Warranty!E:E)</f>
        <v>5.0000000000000001E-3</v>
      </c>
      <c r="AK127" s="8">
        <f>IF($I127="AUD",VLOOKUP(RIGHT('Wk - Margins'!$G127,3),'AU Freight'!C:G,5,0),0)</f>
        <v>0</v>
      </c>
      <c r="AL127" s="15">
        <f t="shared" si="44"/>
        <v>0</v>
      </c>
      <c r="AM127" s="61">
        <f t="shared" si="45"/>
        <v>17891.896154479127</v>
      </c>
      <c r="AN127" s="63">
        <f t="shared" si="49"/>
        <v>0.19450048658093466</v>
      </c>
      <c r="AQ127" s="147"/>
    </row>
    <row r="128" spans="1:43">
      <c r="A128" s="10" t="str">
        <f>'Input - Bookings'!A128</f>
        <v>10-13</v>
      </c>
      <c r="B128" s="11" t="str">
        <f>'Input - Bookings'!C128</f>
        <v>A</v>
      </c>
      <c r="C128" s="11" t="str">
        <f>'Input - Bookings'!H128</f>
        <v>TH</v>
      </c>
      <c r="D128" s="24" t="str">
        <f>'Input - Bookings'!E128</f>
        <v>065</v>
      </c>
      <c r="E128" s="24" t="str">
        <f>'Input - Bookings'!G128</f>
        <v>DILOK AND SONS CO.,LTD.</v>
      </c>
      <c r="F128" s="24" t="str">
        <f>'Input - Bookings'!I128</f>
        <v>H65797</v>
      </c>
      <c r="G128" s="24" t="str">
        <f>'Input - Bookings'!L128</f>
        <v>C225</v>
      </c>
      <c r="H128" s="24" t="str">
        <f>'Input - Bookings'!M128</f>
        <v>J2.5GX</v>
      </c>
      <c r="I128" s="24" t="str">
        <f>'Input - Bookings'!B128</f>
        <v>USD</v>
      </c>
      <c r="J128" s="13" t="str">
        <f>IF(I128="USD",INDEX('AP Plants'!A:A,MATCH(G128,'AP Plants'!D:D,0)),INDEX('Australia Plants'!A:A,MATCH(G128,'Australia Plants'!D:D,0)))</f>
        <v>SN</v>
      </c>
      <c r="K128" s="73">
        <v>1</v>
      </c>
      <c r="L128" s="97">
        <v>36920</v>
      </c>
      <c r="M128" s="97">
        <v>22212.174999999999</v>
      </c>
      <c r="N128" s="99">
        <v>0.19450048658093466</v>
      </c>
      <c r="O128" s="25">
        <f t="shared" si="39"/>
        <v>0.39837012459371612</v>
      </c>
      <c r="P128" s="14">
        <f>IFERROR(IF(OR(B128&amp;C128="PAU",B128&amp;C128="AIN"),VLOOKUP(B128&amp;C128&amp;G128,#REF!,8,0),VLOOKUP(B128&amp;G128,#REF!,8,0)),0)</f>
        <v>0</v>
      </c>
      <c r="Q128" s="15">
        <f t="shared" si="52"/>
        <v>0.19450048658093466</v>
      </c>
      <c r="R128" s="16" t="str">
        <f t="shared" si="40"/>
        <v>AOP</v>
      </c>
      <c r="S128" s="17">
        <f t="shared" si="41"/>
        <v>4320.278845520872</v>
      </c>
      <c r="T128" s="18">
        <f t="shared" si="42"/>
        <v>4320.278845520872</v>
      </c>
      <c r="U128" s="23">
        <f t="shared" si="36"/>
        <v>22212.174999999999</v>
      </c>
      <c r="Y128" s="8" t="str">
        <f t="shared" si="43"/>
        <v>ATHH65797J2.5GX</v>
      </c>
      <c r="Z128" s="8" t="str">
        <f>IF(Y128='Input - Bookings'!Q121,"OK","Check")</f>
        <v>Check</v>
      </c>
      <c r="AA128" s="118"/>
      <c r="AB128" s="103"/>
      <c r="AC128" s="103"/>
      <c r="AD128" s="100">
        <v>17541.07466125405</v>
      </c>
      <c r="AE128" s="100"/>
      <c r="AF128" s="8" t="str">
        <f t="array" ref="AF128">_xlfn.XLOOKUP($G128,'AP Plants'!D:D,'AP Plants'!B:B)</f>
        <v>Class 1</v>
      </c>
      <c r="AG128" s="102"/>
      <c r="AH128" s="102">
        <f t="shared" si="50"/>
        <v>17541.07466125405</v>
      </c>
      <c r="AI128" s="44">
        <v>1.4999999999999999E-2</v>
      </c>
      <c r="AJ128" s="15">
        <f>_xlfn.XLOOKUP($AF128,Warranty!B:B,Warranty!E:E)</f>
        <v>5.0000000000000001E-3</v>
      </c>
      <c r="AK128" s="8">
        <f>IF($I128="AUD",VLOOKUP(RIGHT('Wk - Margins'!$G128,3),'AU Freight'!C:G,5,0),0)</f>
        <v>0</v>
      </c>
      <c r="AL128" s="15">
        <f t="shared" si="44"/>
        <v>0</v>
      </c>
      <c r="AM128" s="61">
        <f t="shared" si="45"/>
        <v>17891.896154479127</v>
      </c>
      <c r="AN128" s="63">
        <f t="shared" si="49"/>
        <v>0.19450048658093466</v>
      </c>
      <c r="AQ128" s="147"/>
    </row>
    <row r="129" spans="1:43">
      <c r="A129" s="10" t="str">
        <f>'Input - Bookings'!A129</f>
        <v>10-15</v>
      </c>
      <c r="B129" s="11" t="str">
        <f>'Input - Bookings'!C129</f>
        <v>A</v>
      </c>
      <c r="C129" s="11" t="str">
        <f>'Input - Bookings'!H129</f>
        <v>TH</v>
      </c>
      <c r="D129" s="24" t="str">
        <f>'Input - Bookings'!E129</f>
        <v>065</v>
      </c>
      <c r="E129" s="24" t="str">
        <f>'Input - Bookings'!G129</f>
        <v>DILOK AND SONS CO.,LTD.</v>
      </c>
      <c r="F129" s="24" t="str">
        <f>'Input - Bookings'!I129</f>
        <v>H65891</v>
      </c>
      <c r="G129" s="24" t="str">
        <f>'Input - Bookings'!L129</f>
        <v>D466</v>
      </c>
      <c r="H129" s="24" t="str">
        <f>'Input - Bookings'!M129</f>
        <v>H2.5XT</v>
      </c>
      <c r="I129" s="24" t="str">
        <f>'Input - Bookings'!B129</f>
        <v>USD</v>
      </c>
      <c r="J129" s="13" t="str">
        <f>IF(I129="USD",INDEX('AP Plants'!A:A,MATCH(G129,'AP Plants'!D:D,0)),INDEX('Australia Plants'!A:A,MATCH(G129,'Australia Plants'!D:D,0)))</f>
        <v>SN</v>
      </c>
      <c r="K129" s="73">
        <v>1</v>
      </c>
      <c r="L129" s="97">
        <v>25470</v>
      </c>
      <c r="M129" s="97">
        <v>14758.65</v>
      </c>
      <c r="N129" s="99">
        <v>5.4140938998184063E-2</v>
      </c>
      <c r="O129" s="25">
        <f t="shared" si="39"/>
        <v>0.42054770318021206</v>
      </c>
      <c r="P129" s="14">
        <f>IFERROR(IF(OR(B129&amp;C129="PAU",B129&amp;C129="AIN"),VLOOKUP(B129&amp;C129&amp;G129,#REF!,8,0),VLOOKUP(B129&amp;G129,#REF!,8,0)),0)</f>
        <v>0</v>
      </c>
      <c r="Q129" s="15">
        <f t="shared" si="52"/>
        <v>5.4140938998184063E-2</v>
      </c>
      <c r="R129" s="16" t="str">
        <f t="shared" si="40"/>
        <v>AOP</v>
      </c>
      <c r="S129" s="17">
        <f t="shared" si="41"/>
        <v>799.04716934554915</v>
      </c>
      <c r="T129" s="18">
        <f t="shared" si="42"/>
        <v>799.04716934554915</v>
      </c>
      <c r="U129" s="23">
        <f t="shared" si="36"/>
        <v>14758.65</v>
      </c>
      <c r="Y129" s="8" t="str">
        <f t="shared" si="43"/>
        <v>ATHH65891H2.5XT</v>
      </c>
      <c r="Z129" s="8" t="str">
        <f>IF(Y129='Input - Bookings'!Q122,"OK","Check")</f>
        <v>Check</v>
      </c>
      <c r="AA129" s="118"/>
      <c r="AB129" s="103"/>
      <c r="AC129" s="103"/>
      <c r="AD129" s="100">
        <v>13685.885128092601</v>
      </c>
      <c r="AE129" s="110"/>
      <c r="AF129" s="8" t="str">
        <f t="array" ref="AF129">_xlfn.XLOOKUP($G129,'AP Plants'!D:D,'AP Plants'!B:B)</f>
        <v>Class 5 NOT BT</v>
      </c>
      <c r="AG129" s="102"/>
      <c r="AH129" s="102">
        <f t="shared" si="50"/>
        <v>13685.885128092601</v>
      </c>
      <c r="AI129" s="44">
        <v>1.4999999999999999E-2</v>
      </c>
      <c r="AJ129" s="15">
        <f>_xlfn.XLOOKUP($AF129,Warranty!B:B,Warranty!E:E)</f>
        <v>5.0000000000000001E-3</v>
      </c>
      <c r="AK129" s="8">
        <f>IF($I129="AUD",VLOOKUP(RIGHT('Wk - Margins'!$G129,3),'AU Freight'!C:G,5,0),0)</f>
        <v>0</v>
      </c>
      <c r="AL129" s="15">
        <f t="shared" si="44"/>
        <v>0</v>
      </c>
      <c r="AM129" s="61">
        <f t="shared" ref="AM129:AM145" si="54">SUM(AG129:AH129)*(1+AI129+AJ129+AL129)+AK129</f>
        <v>13959.60283065445</v>
      </c>
      <c r="AN129" s="63">
        <f t="shared" si="49"/>
        <v>5.4140938998184063E-2</v>
      </c>
      <c r="AQ129" s="147"/>
    </row>
    <row r="130" spans="1:43">
      <c r="A130" s="10" t="str">
        <f>'Input - Bookings'!A130</f>
        <v>10-15</v>
      </c>
      <c r="B130" s="11" t="str">
        <f>'Input - Bookings'!C130</f>
        <v>A</v>
      </c>
      <c r="C130" s="11" t="str">
        <f>'Input - Bookings'!H130</f>
        <v>TH</v>
      </c>
      <c r="D130" s="24" t="str">
        <f>'Input - Bookings'!E130</f>
        <v>065</v>
      </c>
      <c r="E130" s="24" t="str">
        <f>'Input - Bookings'!G130</f>
        <v>DILOK AND SONS CO.,LTD.</v>
      </c>
      <c r="F130" s="24" t="str">
        <f>'Input - Bookings'!I130</f>
        <v>H65892</v>
      </c>
      <c r="G130" s="24" t="str">
        <f>'Input - Bookings'!L130</f>
        <v>D466</v>
      </c>
      <c r="H130" s="24" t="str">
        <f>'Input - Bookings'!M130</f>
        <v>H2.5XT</v>
      </c>
      <c r="I130" s="24" t="str">
        <f>'Input - Bookings'!B130</f>
        <v>USD</v>
      </c>
      <c r="J130" s="13" t="str">
        <f>IF(I130="USD",INDEX('AP Plants'!A:A,MATCH(G130,'AP Plants'!D:D,0)),INDEX('Australia Plants'!A:A,MATCH(G130,'Australia Plants'!D:D,0)))</f>
        <v>SN</v>
      </c>
      <c r="K130" s="73">
        <v>1</v>
      </c>
      <c r="L130" s="97">
        <v>25470</v>
      </c>
      <c r="M130" s="97">
        <v>14758.65</v>
      </c>
      <c r="N130" s="99">
        <v>5.4140938998184063E-2</v>
      </c>
      <c r="O130" s="25">
        <f t="shared" si="39"/>
        <v>0.42054770318021206</v>
      </c>
      <c r="P130" s="14">
        <f>IFERROR(IF(OR(B130&amp;C130="PAU",B130&amp;C130="AIN"),VLOOKUP(B130&amp;C130&amp;G130,#REF!,8,0),VLOOKUP(B130&amp;G130,#REF!,8,0)),0)</f>
        <v>0</v>
      </c>
      <c r="Q130" s="15">
        <f t="shared" si="52"/>
        <v>5.4140938998184063E-2</v>
      </c>
      <c r="R130" s="16" t="str">
        <f t="shared" si="40"/>
        <v>AOP</v>
      </c>
      <c r="S130" s="17">
        <f t="shared" si="41"/>
        <v>799.04716934554915</v>
      </c>
      <c r="T130" s="18">
        <f t="shared" si="42"/>
        <v>799.04716934554915</v>
      </c>
      <c r="U130" s="23">
        <f t="shared" si="36"/>
        <v>14758.65</v>
      </c>
      <c r="Y130" s="8" t="str">
        <f t="shared" si="43"/>
        <v>ATHH65892H2.5XT</v>
      </c>
      <c r="Z130" s="8" t="str">
        <f>IF(Y130='Input - Bookings'!Q123,"OK","Check")</f>
        <v>Check</v>
      </c>
      <c r="AA130" s="140"/>
      <c r="AB130" s="103"/>
      <c r="AC130" s="103"/>
      <c r="AD130" s="100">
        <v>13685.885128092601</v>
      </c>
      <c r="AE130" s="100"/>
      <c r="AF130" s="8" t="str">
        <f t="array" ref="AF130">_xlfn.XLOOKUP($G130,'AP Plants'!D:D,'AP Plants'!B:B)</f>
        <v>Class 5 NOT BT</v>
      </c>
      <c r="AG130" s="102"/>
      <c r="AH130" s="102">
        <f t="shared" si="50"/>
        <v>13685.885128092601</v>
      </c>
      <c r="AI130" s="44">
        <v>1.4999999999999999E-2</v>
      </c>
      <c r="AJ130" s="15">
        <f>_xlfn.XLOOKUP($AF130,Warranty!B:B,Warranty!E:E)</f>
        <v>5.0000000000000001E-3</v>
      </c>
      <c r="AK130" s="8">
        <f>IF($I130="AUD",VLOOKUP(RIGHT('Wk - Margins'!$G130,3),'AU Freight'!C:G,5,0),0)</f>
        <v>0</v>
      </c>
      <c r="AL130" s="15">
        <f t="shared" si="44"/>
        <v>0</v>
      </c>
      <c r="AM130" s="61">
        <f t="shared" si="54"/>
        <v>13959.60283065445</v>
      </c>
      <c r="AN130" s="63">
        <f t="shared" si="49"/>
        <v>5.4140938998184063E-2</v>
      </c>
      <c r="AQ130" s="147"/>
    </row>
    <row r="131" spans="1:43">
      <c r="A131" s="10" t="str">
        <f>'Input - Bookings'!A131</f>
        <v>10-15</v>
      </c>
      <c r="B131" s="11" t="str">
        <f>'Input - Bookings'!C131</f>
        <v>A</v>
      </c>
      <c r="C131" s="11" t="str">
        <f>'Input - Bookings'!H131</f>
        <v>TH</v>
      </c>
      <c r="D131" s="24" t="str">
        <f>'Input - Bookings'!E131</f>
        <v>065</v>
      </c>
      <c r="E131" s="24" t="str">
        <f>'Input - Bookings'!G131</f>
        <v>DILOK AND SONS CO.,LTD.</v>
      </c>
      <c r="F131" s="24" t="str">
        <f>'Input - Bookings'!I131</f>
        <v>H65893</v>
      </c>
      <c r="G131" s="24" t="str">
        <f>'Input - Bookings'!L131</f>
        <v>D466</v>
      </c>
      <c r="H131" s="24" t="str">
        <f>'Input - Bookings'!M131</f>
        <v>H2.5XT</v>
      </c>
      <c r="I131" s="24" t="str">
        <f>'Input - Bookings'!B131</f>
        <v>USD</v>
      </c>
      <c r="J131" s="13" t="str">
        <f>IF(I131="USD",INDEX('AP Plants'!A:A,MATCH(G131,'AP Plants'!D:D,0)),INDEX('Australia Plants'!A:A,MATCH(G131,'Australia Plants'!D:D,0)))</f>
        <v>SN</v>
      </c>
      <c r="K131" s="73">
        <v>1</v>
      </c>
      <c r="L131" s="97">
        <v>25470</v>
      </c>
      <c r="M131" s="97">
        <v>14758.65</v>
      </c>
      <c r="N131" s="99">
        <v>5.4140938998184063E-2</v>
      </c>
      <c r="O131" s="25">
        <f t="shared" si="39"/>
        <v>0.42054770318021206</v>
      </c>
      <c r="P131" s="14">
        <f>IFERROR(IF(OR(B131&amp;C131="PAU",B131&amp;C131="AIN"),VLOOKUP(B131&amp;C131&amp;G131,#REF!,8,0),VLOOKUP(B131&amp;G131,#REF!,8,0)),0)</f>
        <v>0</v>
      </c>
      <c r="Q131" s="15">
        <f t="shared" si="52"/>
        <v>5.4140938998184063E-2</v>
      </c>
      <c r="R131" s="16" t="str">
        <f t="shared" si="40"/>
        <v>AOP</v>
      </c>
      <c r="S131" s="17">
        <f t="shared" si="41"/>
        <v>799.04716934554915</v>
      </c>
      <c r="T131" s="18">
        <f t="shared" si="42"/>
        <v>799.04716934554915</v>
      </c>
      <c r="U131" s="23">
        <f t="shared" ref="U131:U194" si="55">IF(I131="USD",M131,M131/$X$6)</f>
        <v>14758.65</v>
      </c>
      <c r="Y131" s="8" t="str">
        <f t="shared" si="43"/>
        <v>ATHH65893H2.5XT</v>
      </c>
      <c r="Z131" s="8" t="str">
        <f>IF(Y131='Input - Bookings'!Q124,"OK","Check")</f>
        <v>Check</v>
      </c>
      <c r="AA131" s="139"/>
      <c r="AB131" s="103"/>
      <c r="AC131" s="103"/>
      <c r="AD131" s="100">
        <v>13685.885128092601</v>
      </c>
      <c r="AE131" s="100"/>
      <c r="AF131" s="8" t="str">
        <f t="array" ref="AF131">_xlfn.XLOOKUP($G131,'AP Plants'!D:D,'AP Plants'!B:B)</f>
        <v>Class 5 NOT BT</v>
      </c>
      <c r="AG131" s="102"/>
      <c r="AH131" s="102">
        <f t="shared" si="50"/>
        <v>13685.885128092601</v>
      </c>
      <c r="AI131" s="44">
        <v>1.4999999999999999E-2</v>
      </c>
      <c r="AJ131" s="15">
        <f>_xlfn.XLOOKUP($AF131,Warranty!B:B,Warranty!E:E)</f>
        <v>5.0000000000000001E-3</v>
      </c>
      <c r="AK131" s="8">
        <f>IF($I131="AUD",VLOOKUP(RIGHT('Wk - Margins'!$G131,3),'AU Freight'!C:G,5,0),0)</f>
        <v>0</v>
      </c>
      <c r="AL131" s="15">
        <f t="shared" si="44"/>
        <v>0</v>
      </c>
      <c r="AM131" s="61">
        <f t="shared" si="54"/>
        <v>13959.60283065445</v>
      </c>
      <c r="AN131" s="63">
        <f t="shared" si="49"/>
        <v>5.4140938998184063E-2</v>
      </c>
      <c r="AQ131" s="147"/>
    </row>
    <row r="132" spans="1:43">
      <c r="A132" s="10" t="str">
        <f>'Input - Bookings'!A132</f>
        <v>10-15</v>
      </c>
      <c r="B132" s="11" t="str">
        <f>'Input - Bookings'!C132</f>
        <v>A</v>
      </c>
      <c r="C132" s="11" t="str">
        <f>'Input - Bookings'!H132</f>
        <v>TH</v>
      </c>
      <c r="D132" s="24" t="str">
        <f>'Input - Bookings'!E132</f>
        <v>065</v>
      </c>
      <c r="E132" s="24" t="str">
        <f>'Input - Bookings'!G132</f>
        <v>DILOK AND SONS CO.,LTD.</v>
      </c>
      <c r="F132" s="24" t="str">
        <f>'Input - Bookings'!I132</f>
        <v>H65894</v>
      </c>
      <c r="G132" s="24" t="str">
        <f>'Input - Bookings'!L132</f>
        <v>D466</v>
      </c>
      <c r="H132" s="24" t="str">
        <f>'Input - Bookings'!M132</f>
        <v>H2.5XT</v>
      </c>
      <c r="I132" s="24" t="str">
        <f>'Input - Bookings'!B132</f>
        <v>USD</v>
      </c>
      <c r="J132" s="13" t="str">
        <f>IF(I132="USD",INDEX('AP Plants'!A:A,MATCH(G132,'AP Plants'!D:D,0)),INDEX('Australia Plants'!A:A,MATCH(G132,'Australia Plants'!D:D,0)))</f>
        <v>SN</v>
      </c>
      <c r="K132" s="73">
        <v>1</v>
      </c>
      <c r="L132" s="97">
        <v>25470</v>
      </c>
      <c r="M132" s="97">
        <v>14758.65</v>
      </c>
      <c r="N132" s="99">
        <v>5.4140938998184063E-2</v>
      </c>
      <c r="O132" s="25">
        <f t="shared" si="39"/>
        <v>0.42054770318021206</v>
      </c>
      <c r="P132" s="14">
        <f>IFERROR(IF(OR(B132&amp;C132="PAU",B132&amp;C132="AIN"),VLOOKUP(B132&amp;C132&amp;G132,#REF!,8,0),VLOOKUP(B132&amp;G132,#REF!,8,0)),0)</f>
        <v>0</v>
      </c>
      <c r="Q132" s="15">
        <f t="shared" si="52"/>
        <v>5.4140938998184063E-2</v>
      </c>
      <c r="R132" s="16" t="str">
        <f t="shared" si="40"/>
        <v>AOP</v>
      </c>
      <c r="S132" s="17">
        <f t="shared" si="41"/>
        <v>799.04716934554915</v>
      </c>
      <c r="T132" s="18">
        <f t="shared" si="42"/>
        <v>799.04716934554915</v>
      </c>
      <c r="U132" s="23">
        <f t="shared" si="55"/>
        <v>14758.65</v>
      </c>
      <c r="Y132" s="8" t="str">
        <f t="shared" si="43"/>
        <v>ATHH65894H2.5XT</v>
      </c>
      <c r="Z132" s="8" t="str">
        <f>IF(Y132='Input - Bookings'!Q125,"OK","Check")</f>
        <v>Check</v>
      </c>
      <c r="AA132" s="139"/>
      <c r="AB132" s="103"/>
      <c r="AC132" s="103"/>
      <c r="AD132" s="100">
        <v>13685.885128092601</v>
      </c>
      <c r="AE132" s="100"/>
      <c r="AF132" s="8" t="str">
        <f t="array" ref="AF132">_xlfn.XLOOKUP($G132,'AP Plants'!D:D,'AP Plants'!B:B)</f>
        <v>Class 5 NOT BT</v>
      </c>
      <c r="AG132" s="102"/>
      <c r="AH132" s="102">
        <f t="shared" si="50"/>
        <v>13685.885128092601</v>
      </c>
      <c r="AI132" s="44">
        <v>1.4999999999999999E-2</v>
      </c>
      <c r="AJ132" s="15">
        <f>_xlfn.XLOOKUP($AF132,Warranty!B:B,Warranty!E:E)</f>
        <v>5.0000000000000001E-3</v>
      </c>
      <c r="AK132" s="8">
        <f>IF($I132="AUD",VLOOKUP(RIGHT('Wk - Margins'!$G132,3),'AU Freight'!C:G,5,0),0)</f>
        <v>0</v>
      </c>
      <c r="AL132" s="15">
        <f t="shared" si="44"/>
        <v>0</v>
      </c>
      <c r="AM132" s="61">
        <f t="shared" si="54"/>
        <v>13959.60283065445</v>
      </c>
      <c r="AN132" s="63">
        <f t="shared" si="49"/>
        <v>5.4140938998184063E-2</v>
      </c>
      <c r="AQ132" s="147"/>
    </row>
    <row r="133" spans="1:43">
      <c r="A133" s="10" t="str">
        <f>'Input - Bookings'!A133</f>
        <v>10-15</v>
      </c>
      <c r="B133" s="11" t="str">
        <f>'Input - Bookings'!C133</f>
        <v>A</v>
      </c>
      <c r="C133" s="11" t="str">
        <f>'Input - Bookings'!H133</f>
        <v>TH</v>
      </c>
      <c r="D133" s="24" t="str">
        <f>'Input - Bookings'!E133</f>
        <v>065</v>
      </c>
      <c r="E133" s="24" t="str">
        <f>'Input - Bookings'!G133</f>
        <v>DILOK AND SONS CO.,LTD.</v>
      </c>
      <c r="F133" s="24" t="str">
        <f>'Input - Bookings'!I133</f>
        <v>H65895</v>
      </c>
      <c r="G133" s="24" t="str">
        <f>'Input - Bookings'!L133</f>
        <v>D466</v>
      </c>
      <c r="H133" s="24" t="str">
        <f>'Input - Bookings'!M133</f>
        <v>H2.5XT</v>
      </c>
      <c r="I133" s="24" t="str">
        <f>'Input - Bookings'!B133</f>
        <v>USD</v>
      </c>
      <c r="J133" s="13" t="str">
        <f>IF(I133="USD",INDEX('AP Plants'!A:A,MATCH(G133,'AP Plants'!D:D,0)),INDEX('Australia Plants'!A:A,MATCH(G133,'Australia Plants'!D:D,0)))</f>
        <v>SN</v>
      </c>
      <c r="K133" s="73">
        <v>1</v>
      </c>
      <c r="L133" s="97">
        <v>25470</v>
      </c>
      <c r="M133" s="97">
        <v>14758.65</v>
      </c>
      <c r="N133" s="99">
        <v>5.4140938998184063E-2</v>
      </c>
      <c r="O133" s="25">
        <f t="shared" si="39"/>
        <v>0.42054770318021206</v>
      </c>
      <c r="P133" s="14">
        <f>IFERROR(IF(OR(B133&amp;C133="PAU",B133&amp;C133="AIN"),VLOOKUP(B133&amp;C133&amp;G133,#REF!,8,0),VLOOKUP(B133&amp;G133,#REF!,8,0)),0)</f>
        <v>0</v>
      </c>
      <c r="Q133" s="15">
        <f t="shared" si="52"/>
        <v>5.4140938998184063E-2</v>
      </c>
      <c r="R133" s="16" t="str">
        <f t="shared" si="40"/>
        <v>AOP</v>
      </c>
      <c r="S133" s="17">
        <f t="shared" si="41"/>
        <v>799.04716934554915</v>
      </c>
      <c r="T133" s="18">
        <f t="shared" si="42"/>
        <v>799.04716934554915</v>
      </c>
      <c r="U133" s="23">
        <f t="shared" si="55"/>
        <v>14758.65</v>
      </c>
      <c r="Y133" s="8" t="str">
        <f t="shared" si="43"/>
        <v>ATHH65895H2.5XT</v>
      </c>
      <c r="Z133" s="8" t="str">
        <f>IF(Y133='Input - Bookings'!Q126,"OK","Check")</f>
        <v>Check</v>
      </c>
      <c r="AA133" s="139"/>
      <c r="AB133" s="103"/>
      <c r="AC133" s="103"/>
      <c r="AD133" s="100">
        <v>13685.885128092601</v>
      </c>
      <c r="AE133" s="100"/>
      <c r="AF133" s="8" t="str">
        <f t="array" ref="AF133">_xlfn.XLOOKUP($G133,'AP Plants'!D:D,'AP Plants'!B:B)</f>
        <v>Class 5 NOT BT</v>
      </c>
      <c r="AG133" s="102"/>
      <c r="AH133" s="102">
        <f t="shared" si="50"/>
        <v>13685.885128092601</v>
      </c>
      <c r="AI133" s="44">
        <v>1.4999999999999999E-2</v>
      </c>
      <c r="AJ133" s="15">
        <f>_xlfn.XLOOKUP($AF133,Warranty!B:B,Warranty!E:E)</f>
        <v>5.0000000000000001E-3</v>
      </c>
      <c r="AK133" s="8">
        <f>IF($I133="AUD",VLOOKUP(RIGHT('Wk - Margins'!$G133,3),'AU Freight'!C:G,5,0),0)</f>
        <v>0</v>
      </c>
      <c r="AL133" s="15">
        <f t="shared" si="44"/>
        <v>0</v>
      </c>
      <c r="AM133" s="61">
        <f t="shared" si="54"/>
        <v>13959.60283065445</v>
      </c>
      <c r="AN133" s="63">
        <f t="shared" si="49"/>
        <v>5.4140938998184063E-2</v>
      </c>
      <c r="AQ133" s="147"/>
    </row>
    <row r="134" spans="1:43">
      <c r="A134" s="10" t="str">
        <f>'Input - Bookings'!A134</f>
        <v>10-15</v>
      </c>
      <c r="B134" s="11" t="str">
        <f>'Input - Bookings'!C134</f>
        <v>A</v>
      </c>
      <c r="C134" s="11" t="str">
        <f>'Input - Bookings'!H134</f>
        <v>TH</v>
      </c>
      <c r="D134" s="24" t="str">
        <f>'Input - Bookings'!E134</f>
        <v>065</v>
      </c>
      <c r="E134" s="24" t="str">
        <f>'Input - Bookings'!G134</f>
        <v>DILOK AND SONS CO.,LTD.</v>
      </c>
      <c r="F134" s="24" t="str">
        <f>'Input - Bookings'!I134</f>
        <v>H65896</v>
      </c>
      <c r="G134" s="24" t="str">
        <f>'Input - Bookings'!L134</f>
        <v>D466</v>
      </c>
      <c r="H134" s="24" t="str">
        <f>'Input - Bookings'!M134</f>
        <v>H2.5XT</v>
      </c>
      <c r="I134" s="24" t="str">
        <f>'Input - Bookings'!B134</f>
        <v>USD</v>
      </c>
      <c r="J134" s="13" t="str">
        <f>IF(I134="USD",INDEX('AP Plants'!A:A,MATCH(G134,'AP Plants'!D:D,0)),INDEX('Australia Plants'!A:A,MATCH(G134,'Australia Plants'!D:D,0)))</f>
        <v>SN</v>
      </c>
      <c r="K134" s="73">
        <v>1</v>
      </c>
      <c r="L134" s="97">
        <v>28030</v>
      </c>
      <c r="M134" s="97">
        <v>16461.05</v>
      </c>
      <c r="N134" s="99">
        <v>8.8421584333717052E-2</v>
      </c>
      <c r="O134" s="25">
        <f t="shared" si="39"/>
        <v>0.4127345701034606</v>
      </c>
      <c r="P134" s="14">
        <f>IFERROR(IF(OR(B134&amp;C134="PAU",B134&amp;C134="AIN"),VLOOKUP(B134&amp;C134&amp;G134,#REF!,8,0),VLOOKUP(B134&amp;G134,#REF!,8,0)),0)</f>
        <v>0</v>
      </c>
      <c r="Q134" s="15">
        <f t="shared" si="52"/>
        <v>8.8421584333717052E-2</v>
      </c>
      <c r="R134" s="16" t="str">
        <f t="shared" si="40"/>
        <v>AOP</v>
      </c>
      <c r="S134" s="17">
        <f t="shared" si="41"/>
        <v>1455.5121207965331</v>
      </c>
      <c r="T134" s="18">
        <f t="shared" si="42"/>
        <v>1455.5121207965331</v>
      </c>
      <c r="U134" s="23">
        <f t="shared" si="55"/>
        <v>16461.05</v>
      </c>
      <c r="Y134" s="8" t="str">
        <f t="shared" si="43"/>
        <v>ATHH65896H2.5XT</v>
      </c>
      <c r="Z134" s="8" t="str">
        <f>IF(Y134='Input - Bookings'!Q127,"OK","Check")</f>
        <v>Check</v>
      </c>
      <c r="AA134" s="139"/>
      <c r="AB134" s="103"/>
      <c r="AC134" s="103"/>
      <c r="AD134" s="100">
        <v>14711.311646277911</v>
      </c>
      <c r="AE134" s="98"/>
      <c r="AF134" s="8" t="str">
        <f t="array" ref="AF134">_xlfn.XLOOKUP($G134,'AP Plants'!D:D,'AP Plants'!B:B)</f>
        <v>Class 5 NOT BT</v>
      </c>
      <c r="AG134" s="102"/>
      <c r="AH134" s="102">
        <f t="shared" si="50"/>
        <v>14711.311646277911</v>
      </c>
      <c r="AI134" s="44">
        <v>1.4999999999999999E-2</v>
      </c>
      <c r="AJ134" s="15">
        <f>_xlfn.XLOOKUP($AF134,Warranty!B:B,Warranty!E:E)</f>
        <v>5.0000000000000001E-3</v>
      </c>
      <c r="AK134" s="8">
        <f>IF($I134="AUD",VLOOKUP(RIGHT('Wk - Margins'!$G134,3),'AU Freight'!C:G,5,0),0)</f>
        <v>0</v>
      </c>
      <c r="AL134" s="15">
        <f t="shared" si="44"/>
        <v>0</v>
      </c>
      <c r="AM134" s="61">
        <f t="shared" si="54"/>
        <v>15005.537879203466</v>
      </c>
      <c r="AN134" s="63">
        <f t="shared" si="49"/>
        <v>8.8421584333717052E-2</v>
      </c>
      <c r="AQ134" s="147"/>
    </row>
    <row r="135" spans="1:43">
      <c r="A135" s="10" t="str">
        <f>'Input - Bookings'!A135</f>
        <v>10-15</v>
      </c>
      <c r="B135" s="11" t="str">
        <f>'Input - Bookings'!C135</f>
        <v>A</v>
      </c>
      <c r="C135" s="11" t="str">
        <f>'Input - Bookings'!H135</f>
        <v>TH</v>
      </c>
      <c r="D135" s="24" t="str">
        <f>'Input - Bookings'!E135</f>
        <v>065</v>
      </c>
      <c r="E135" s="24" t="str">
        <f>'Input - Bookings'!G135</f>
        <v>DILOK AND SONS CO.,LTD.</v>
      </c>
      <c r="F135" s="24" t="str">
        <f>'Input - Bookings'!I135</f>
        <v>H65897</v>
      </c>
      <c r="G135" s="24" t="str">
        <f>'Input - Bookings'!L135</f>
        <v>D466</v>
      </c>
      <c r="H135" s="24" t="str">
        <f>'Input - Bookings'!M135</f>
        <v>H2.5XT</v>
      </c>
      <c r="I135" s="24" t="str">
        <f>'Input - Bookings'!B135</f>
        <v>USD</v>
      </c>
      <c r="J135" s="13" t="str">
        <f>IF(I135="USD",INDEX('AP Plants'!A:A,MATCH(G135,'AP Plants'!D:D,0)),INDEX('Australia Plants'!A:A,MATCH(G135,'Australia Plants'!D:D,0)))</f>
        <v>SN</v>
      </c>
      <c r="K135" s="73">
        <v>1</v>
      </c>
      <c r="L135" s="97">
        <v>28030</v>
      </c>
      <c r="M135" s="97">
        <v>16461.05</v>
      </c>
      <c r="N135" s="99">
        <v>8.8421584333717052E-2</v>
      </c>
      <c r="O135" s="25">
        <f t="shared" si="39"/>
        <v>0.4127345701034606</v>
      </c>
      <c r="P135" s="14">
        <f>IFERROR(IF(OR(B135&amp;C135="PAU",B135&amp;C135="AIN"),VLOOKUP(B135&amp;C135&amp;G135,#REF!,8,0),VLOOKUP(B135&amp;G135,#REF!,8,0)),0)</f>
        <v>0</v>
      </c>
      <c r="Q135" s="15">
        <f t="shared" si="52"/>
        <v>8.8421584333717052E-2</v>
      </c>
      <c r="R135" s="16" t="str">
        <f t="shared" si="40"/>
        <v>AOP</v>
      </c>
      <c r="S135" s="17">
        <f t="shared" si="41"/>
        <v>1455.5121207965331</v>
      </c>
      <c r="T135" s="18">
        <f t="shared" si="42"/>
        <v>1455.5121207965331</v>
      </c>
      <c r="U135" s="23">
        <f t="shared" si="55"/>
        <v>16461.05</v>
      </c>
      <c r="Y135" s="8" t="str">
        <f t="shared" si="43"/>
        <v>ATHH65897H2.5XT</v>
      </c>
      <c r="Z135" s="8" t="str">
        <f>IF(Y135='Input - Bookings'!Q128,"OK","Check")</f>
        <v>Check</v>
      </c>
      <c r="AA135" s="139"/>
      <c r="AB135" s="103"/>
      <c r="AC135" s="103"/>
      <c r="AD135" s="100">
        <v>14711.311646277911</v>
      </c>
      <c r="AE135" s="98"/>
      <c r="AF135" s="8" t="str">
        <f t="array" ref="AF135">_xlfn.XLOOKUP($G135,'AP Plants'!D:D,'AP Plants'!B:B)</f>
        <v>Class 5 NOT BT</v>
      </c>
      <c r="AG135" s="102"/>
      <c r="AH135" s="102">
        <f t="shared" si="50"/>
        <v>14711.311646277911</v>
      </c>
      <c r="AI135" s="44">
        <v>1.4999999999999999E-2</v>
      </c>
      <c r="AJ135" s="15">
        <f>_xlfn.XLOOKUP($AF135,Warranty!B:B,Warranty!E:E)</f>
        <v>5.0000000000000001E-3</v>
      </c>
      <c r="AK135" s="8">
        <f>IF($I135="AUD",VLOOKUP(RIGHT('Wk - Margins'!$G135,3),'AU Freight'!C:G,5,0),0)</f>
        <v>0</v>
      </c>
      <c r="AL135" s="15">
        <f t="shared" si="44"/>
        <v>0</v>
      </c>
      <c r="AM135" s="61">
        <f t="shared" si="54"/>
        <v>15005.537879203466</v>
      </c>
      <c r="AN135" s="63">
        <f t="shared" si="49"/>
        <v>8.8421584333717052E-2</v>
      </c>
      <c r="AQ135" s="147"/>
    </row>
    <row r="136" spans="1:43">
      <c r="A136" s="10" t="str">
        <f>'Input - Bookings'!A136</f>
        <v>10-15</v>
      </c>
      <c r="B136" s="11" t="str">
        <f>'Input - Bookings'!C136</f>
        <v>A</v>
      </c>
      <c r="C136" s="11" t="str">
        <f>'Input - Bookings'!H136</f>
        <v>TH</v>
      </c>
      <c r="D136" s="24" t="str">
        <f>'Input - Bookings'!E136</f>
        <v>065</v>
      </c>
      <c r="E136" s="24" t="str">
        <f>'Input - Bookings'!G136</f>
        <v>DILOK AND SONS CO.,LTD.</v>
      </c>
      <c r="F136" s="24" t="str">
        <f>'Input - Bookings'!I136</f>
        <v>H65898</v>
      </c>
      <c r="G136" s="24" t="str">
        <f>'Input - Bookings'!L136</f>
        <v>D466</v>
      </c>
      <c r="H136" s="24" t="str">
        <f>'Input - Bookings'!M136</f>
        <v>H2.5XT</v>
      </c>
      <c r="I136" s="24" t="str">
        <f>'Input - Bookings'!B136</f>
        <v>USD</v>
      </c>
      <c r="J136" s="13" t="str">
        <f>IF(I136="USD",INDEX('AP Plants'!A:A,MATCH(G136,'AP Plants'!D:D,0)),INDEX('Australia Plants'!A:A,MATCH(G136,'Australia Plants'!D:D,0)))</f>
        <v>SN</v>
      </c>
      <c r="K136" s="73">
        <v>1</v>
      </c>
      <c r="L136" s="97">
        <v>28575</v>
      </c>
      <c r="M136" s="97">
        <v>16823.474999999995</v>
      </c>
      <c r="N136" s="99">
        <v>8.7130724109018121E-2</v>
      </c>
      <c r="O136" s="25">
        <f t="shared" si="39"/>
        <v>0.41125196850393719</v>
      </c>
      <c r="P136" s="14">
        <f>IFERROR(IF(OR(B136&amp;C136="PAU",B136&amp;C136="AIN"),VLOOKUP(B136&amp;C136&amp;G136,#REF!,8,0),VLOOKUP(B136&amp;G136,#REF!,8,0)),0)</f>
        <v>0</v>
      </c>
      <c r="Q136" s="15">
        <f t="shared" si="52"/>
        <v>8.7130724109018121E-2</v>
      </c>
      <c r="R136" s="16" t="str">
        <f t="shared" si="40"/>
        <v>AOP</v>
      </c>
      <c r="S136" s="17">
        <f t="shared" si="41"/>
        <v>1465.8415587799632</v>
      </c>
      <c r="T136" s="18">
        <f t="shared" si="42"/>
        <v>1465.8415587799632</v>
      </c>
      <c r="U136" s="23">
        <f t="shared" si="55"/>
        <v>16823.474999999995</v>
      </c>
      <c r="Y136" s="8" t="str">
        <f t="shared" si="43"/>
        <v>ATHH65898H2.5XT</v>
      </c>
      <c r="Z136" s="8" t="str">
        <f>IF(Y136='Input - Bookings'!Q129,"OK","Check")</f>
        <v>Check</v>
      </c>
      <c r="AA136" s="139"/>
      <c r="AB136" s="103"/>
      <c r="AC136" s="103"/>
      <c r="AD136" s="100">
        <v>15056.503373745132</v>
      </c>
      <c r="AE136" s="98"/>
      <c r="AF136" s="8" t="str">
        <f t="array" ref="AF136">_xlfn.XLOOKUP($G136,'AP Plants'!D:D,'AP Plants'!B:B)</f>
        <v>Class 5 NOT BT</v>
      </c>
      <c r="AG136" s="102"/>
      <c r="AH136" s="102">
        <f t="shared" si="50"/>
        <v>15056.503373745132</v>
      </c>
      <c r="AI136" s="44">
        <v>1.4999999999999999E-2</v>
      </c>
      <c r="AJ136" s="15">
        <f>_xlfn.XLOOKUP($AF136,Warranty!B:B,Warranty!E:E)</f>
        <v>5.0000000000000001E-3</v>
      </c>
      <c r="AK136" s="8">
        <f>IF($I136="AUD",VLOOKUP(RIGHT('Wk - Margins'!$G136,3),'AU Freight'!C:G,5,0),0)</f>
        <v>0</v>
      </c>
      <c r="AL136" s="15">
        <f t="shared" si="44"/>
        <v>0</v>
      </c>
      <c r="AM136" s="61">
        <f t="shared" ref="AM136:AM138" si="56">SUM(AG136:AH136)*(1+AI136+AJ136+AL136)+AK136</f>
        <v>15357.633441220032</v>
      </c>
      <c r="AN136" s="63">
        <f t="shared" si="49"/>
        <v>8.7130724109018121E-2</v>
      </c>
      <c r="AQ136" s="147"/>
    </row>
    <row r="137" spans="1:43">
      <c r="A137" s="10" t="str">
        <f>'Input - Bookings'!A137</f>
        <v>10-16</v>
      </c>
      <c r="B137" s="11" t="str">
        <f>'Input - Bookings'!C137</f>
        <v>A</v>
      </c>
      <c r="C137" s="11" t="str">
        <f>'Input - Bookings'!H137</f>
        <v>TH</v>
      </c>
      <c r="D137" s="24" t="str">
        <f>'Input - Bookings'!E137</f>
        <v>065</v>
      </c>
      <c r="E137" s="24" t="str">
        <f>'Input - Bookings'!G137</f>
        <v>DILOK AND SONS CO.,LTD.</v>
      </c>
      <c r="F137" s="24" t="str">
        <f>'Input - Bookings'!I137</f>
        <v>H66025</v>
      </c>
      <c r="G137" s="24" t="str">
        <f>'Input - Bookings'!L137</f>
        <v>C915</v>
      </c>
      <c r="H137" s="24" t="str">
        <f>'Input - Bookings'!M137</f>
        <v>R1.50EX  2</v>
      </c>
      <c r="I137" s="24" t="str">
        <f>'Input - Bookings'!B137</f>
        <v>USD</v>
      </c>
      <c r="J137" s="13" t="str">
        <f>IF(I137="USD",INDEX('AP Plants'!A:A,MATCH(G137,'AP Plants'!D:D,0)),INDEX('Australia Plants'!A:A,MATCH(G137,'Australia Plants'!D:D,0)))</f>
        <v>SN</v>
      </c>
      <c r="K137" s="73">
        <v>1</v>
      </c>
      <c r="L137" s="97">
        <v>27240</v>
      </c>
      <c r="M137" s="97">
        <v>16991.53</v>
      </c>
      <c r="N137" s="99">
        <v>0.18171282732525518</v>
      </c>
      <c r="O137" s="25">
        <f t="shared" ref="O137:O200" si="57">1-M137/L137</f>
        <v>0.37622870778267259</v>
      </c>
      <c r="P137" s="14">
        <f>IFERROR(IF(OR(B137&amp;C137="PAU",B137&amp;C137="AIN"),VLOOKUP(B137&amp;C137&amp;G137,#REF!,8,0),VLOOKUP(B137&amp;G137,#REF!,8,0)),0)</f>
        <v>0</v>
      </c>
      <c r="Q137" s="15">
        <f t="shared" si="52"/>
        <v>0.18171282732525518</v>
      </c>
      <c r="R137" s="16" t="str">
        <f t="shared" ref="R137:R200" si="58">IF(Q137&gt;=0%,"AOP",IF(Q137&gt;=-2%,"GM",IF(Q137&gt;=-6%,"MD","VP")))</f>
        <v>AOP</v>
      </c>
      <c r="S137" s="17">
        <f t="shared" ref="S137:S200" si="59">K137*M137*(N137-P137)</f>
        <v>3087.5789568818927</v>
      </c>
      <c r="T137" s="18">
        <f t="shared" ref="T137:T200" si="60">IF(I137="USD",S137,S137/$X$6)</f>
        <v>3087.5789568818927</v>
      </c>
      <c r="U137" s="23">
        <f t="shared" si="55"/>
        <v>16991.53</v>
      </c>
      <c r="Y137" s="8" t="str">
        <f t="shared" ref="Y137:Y200" si="61">B137&amp;C137&amp;F137&amp;H137</f>
        <v>ATHH66025R1.50EX  2</v>
      </c>
      <c r="Z137" s="8" t="str">
        <f>IF(Y137='Input - Bookings'!Q130,"OK","Check")</f>
        <v>Check</v>
      </c>
      <c r="AA137" s="139"/>
      <c r="AB137" s="103"/>
      <c r="AC137" s="103"/>
      <c r="AD137" s="100">
        <v>13498.9815952603</v>
      </c>
      <c r="AE137" s="100"/>
      <c r="AF137" s="8" t="str">
        <f t="array" ref="AF137">_xlfn.XLOOKUP($G137,'AP Plants'!D:D,'AP Plants'!B:B)</f>
        <v>Class 2</v>
      </c>
      <c r="AG137" s="102"/>
      <c r="AH137" s="102">
        <f t="shared" si="50"/>
        <v>13498.9815952603</v>
      </c>
      <c r="AI137" s="44">
        <v>1.4999999999999999E-2</v>
      </c>
      <c r="AJ137" s="15">
        <f>_xlfn.XLOOKUP($AF137,Warranty!B:B,Warranty!E:E)</f>
        <v>1.4999999999999999E-2</v>
      </c>
      <c r="AK137" s="8">
        <f>IF($I137="AUD",VLOOKUP(RIGHT('Wk - Margins'!$G137,3),'AU Freight'!C:G,5,0),0)</f>
        <v>0</v>
      </c>
      <c r="AL137" s="15">
        <f t="shared" ref="AL137:AL138" si="62">IF(AND($I137="AUD",$AF137="Class 5 BT"),5%,0%)</f>
        <v>0</v>
      </c>
      <c r="AM137" s="61">
        <f t="shared" si="56"/>
        <v>13903.951043118106</v>
      </c>
      <c r="AN137" s="63">
        <f t="shared" ref="AN137:AN145" si="63">1-AM137/M137</f>
        <v>0.18171282732525518</v>
      </c>
      <c r="AQ137" s="147"/>
    </row>
    <row r="138" spans="1:43">
      <c r="A138" s="10" t="str">
        <f>'Input - Bookings'!A138</f>
        <v>10-16</v>
      </c>
      <c r="B138" s="11" t="str">
        <f>'Input - Bookings'!C138</f>
        <v>A</v>
      </c>
      <c r="C138" s="11" t="str">
        <f>'Input - Bookings'!H138</f>
        <v>TH</v>
      </c>
      <c r="D138" s="24" t="str">
        <f>'Input - Bookings'!E138</f>
        <v>065</v>
      </c>
      <c r="E138" s="24" t="str">
        <f>'Input - Bookings'!G138</f>
        <v>DILOK AND SONS CO.,LTD.</v>
      </c>
      <c r="F138" s="24" t="str">
        <f>'Input - Bookings'!I138</f>
        <v>H65916</v>
      </c>
      <c r="G138" s="24" t="str">
        <f>'Input - Bookings'!L138</f>
        <v>A3C1</v>
      </c>
      <c r="H138" s="24" t="str">
        <f>'Input - Bookings'!M138</f>
        <v>H3.0UT</v>
      </c>
      <c r="I138" s="24" t="str">
        <f>'Input - Bookings'!B138</f>
        <v>USD</v>
      </c>
      <c r="J138" s="13" t="str">
        <f>IF(I138="USD",INDEX('AP Plants'!A:A,MATCH(G138,'AP Plants'!D:D,0)),INDEX('Australia Plants'!A:A,MATCH(G138,'Australia Plants'!D:D,0)))</f>
        <v>Maximal</v>
      </c>
      <c r="K138" s="73">
        <v>1</v>
      </c>
      <c r="L138" s="97">
        <v>21190</v>
      </c>
      <c r="M138" s="97">
        <v>13116.05</v>
      </c>
      <c r="N138" s="99">
        <v>0.17327132417727986</v>
      </c>
      <c r="O138" s="25">
        <f t="shared" si="57"/>
        <v>0.38102642756016991</v>
      </c>
      <c r="P138" s="14">
        <f>IFERROR(IF(OR(B138&amp;C138="PAU",B138&amp;C138="AIN"),VLOOKUP(B138&amp;C138&amp;G138,#REF!,8,0),VLOOKUP(B138&amp;G138,#REF!,8,0)),0)</f>
        <v>0</v>
      </c>
      <c r="Q138" s="15">
        <f t="shared" si="52"/>
        <v>0.17327132417727986</v>
      </c>
      <c r="R138" s="16" t="str">
        <f t="shared" si="58"/>
        <v>AOP</v>
      </c>
      <c r="S138" s="17">
        <f t="shared" si="59"/>
        <v>2272.6353514754114</v>
      </c>
      <c r="T138" s="18">
        <f t="shared" si="60"/>
        <v>2272.6353514754114</v>
      </c>
      <c r="U138" s="23">
        <f t="shared" si="55"/>
        <v>13116.05</v>
      </c>
      <c r="Y138" s="8" t="str">
        <f t="shared" si="61"/>
        <v>ATHH65916H3.0UT</v>
      </c>
      <c r="Z138" s="8" t="str">
        <f>IF(Y138='Input - Bookings'!Q131,"OK","Check")</f>
        <v>Check</v>
      </c>
      <c r="AA138" s="139"/>
      <c r="AB138" s="103"/>
      <c r="AC138" s="103"/>
      <c r="AD138" s="100">
        <v>10630.798675024107</v>
      </c>
      <c r="AE138" s="100"/>
      <c r="AF138" s="8" t="str">
        <f t="array" ref="AF138">_xlfn.XLOOKUP($G138,'AP Plants'!D:D,'AP Plants'!B:B)</f>
        <v>Class 5 NOT BT</v>
      </c>
      <c r="AG138" s="102"/>
      <c r="AH138" s="102">
        <f t="shared" si="50"/>
        <v>10630.798675024107</v>
      </c>
      <c r="AI138" s="44">
        <v>1.4999999999999999E-2</v>
      </c>
      <c r="AJ138" s="15">
        <f>_xlfn.XLOOKUP($AF138,Warranty!B:B,Warranty!E:E)</f>
        <v>5.0000000000000001E-3</v>
      </c>
      <c r="AK138" s="8">
        <f>IF($I138="AUD",VLOOKUP(RIGHT('Wk - Margins'!$G138,3),'AU Freight'!C:G,5,0),0)</f>
        <v>0</v>
      </c>
      <c r="AL138" s="15">
        <f t="shared" si="62"/>
        <v>0</v>
      </c>
      <c r="AM138" s="61">
        <f t="shared" si="56"/>
        <v>10843.414648524587</v>
      </c>
      <c r="AN138" s="63">
        <f t="shared" si="63"/>
        <v>0.17327132417727986</v>
      </c>
      <c r="AQ138" s="147"/>
    </row>
    <row r="139" spans="1:43">
      <c r="A139" s="10" t="str">
        <f>'Input - Bookings'!A139</f>
        <v>10-16</v>
      </c>
      <c r="B139" s="11" t="str">
        <f>'Input - Bookings'!C139</f>
        <v>A</v>
      </c>
      <c r="C139" s="11" t="str">
        <f>'Input - Bookings'!H139</f>
        <v>SG</v>
      </c>
      <c r="D139" s="24" t="str">
        <f>'Input - Bookings'!E139</f>
        <v>065</v>
      </c>
      <c r="E139" s="24" t="str">
        <f>'Input - Bookings'!G139</f>
        <v>HYSTER-YALE LIFT TRUCKS</v>
      </c>
      <c r="F139" s="24" t="str">
        <f>'Input - Bookings'!I139</f>
        <v>H65910</v>
      </c>
      <c r="G139" s="24" t="str">
        <f>'Input - Bookings'!L139</f>
        <v>C225</v>
      </c>
      <c r="H139" s="24" t="str">
        <f>'Input - Bookings'!M139</f>
        <v>J2.5GX</v>
      </c>
      <c r="I139" s="24" t="str">
        <f>'Input - Bookings'!B139</f>
        <v>USD</v>
      </c>
      <c r="J139" s="13" t="str">
        <f>IF(I139="USD",INDEX('AP Plants'!A:A,MATCH(G139,'AP Plants'!D:D,0)),INDEX('Australia Plants'!A:A,MATCH(G139,'Australia Plants'!D:D,0)))</f>
        <v>SN</v>
      </c>
      <c r="K139" s="73">
        <v>1</v>
      </c>
      <c r="L139" s="97">
        <v>40430</v>
      </c>
      <c r="M139" s="97">
        <v>25244.25</v>
      </c>
      <c r="N139" s="99">
        <v>0.17270406449249753</v>
      </c>
      <c r="O139" s="25">
        <f t="shared" si="57"/>
        <v>0.37560598565421721</v>
      </c>
      <c r="P139" s="14">
        <f>IFERROR(IF(OR(B139&amp;C139="PAU",B139&amp;C139="AIN"),VLOOKUP(B139&amp;C139&amp;G139,#REF!,8,0),VLOOKUP(B139&amp;G139,#REF!,8,0)),0)</f>
        <v>0</v>
      </c>
      <c r="Q139" s="15">
        <f t="shared" si="52"/>
        <v>0.17270406449249753</v>
      </c>
      <c r="R139" s="16" t="str">
        <f t="shared" si="58"/>
        <v>AOP</v>
      </c>
      <c r="S139" s="17">
        <f t="shared" si="59"/>
        <v>4359.784580064731</v>
      </c>
      <c r="T139" s="18">
        <f t="shared" si="60"/>
        <v>4359.784580064731</v>
      </c>
      <c r="U139" s="23">
        <f t="shared" si="55"/>
        <v>25244.25</v>
      </c>
      <c r="Y139" s="8" t="str">
        <f t="shared" si="61"/>
        <v>ASGH65910J2.5GX</v>
      </c>
      <c r="Z139" s="8" t="str">
        <f>IF(Y139='Input - Bookings'!Q132,"OK","Check")</f>
        <v>Check</v>
      </c>
      <c r="AA139" s="139"/>
      <c r="AB139" s="103"/>
      <c r="AC139" s="103"/>
      <c r="AD139" s="100">
        <v>20474.966097975757</v>
      </c>
      <c r="AE139" s="110"/>
      <c r="AF139" s="8" t="str">
        <f t="array" ref="AF139">_xlfn.XLOOKUP($G139,'AP Plants'!D:D,'AP Plants'!B:B)</f>
        <v>Class 1</v>
      </c>
      <c r="AG139" s="102"/>
      <c r="AH139" s="102">
        <f t="shared" si="50"/>
        <v>20474.966097975757</v>
      </c>
      <c r="AI139" s="44">
        <v>1.4999999999999999E-2</v>
      </c>
      <c r="AJ139" s="15">
        <f>_xlfn.XLOOKUP($AF139,Warranty!B:B,Warranty!E:E)</f>
        <v>5.0000000000000001E-3</v>
      </c>
      <c r="AK139" s="8">
        <f>IF($I139="AUD",VLOOKUP(RIGHT('Wk - Margins'!$G139,3),'AU Freight'!C:G,5,0),0)</f>
        <v>0</v>
      </c>
      <c r="AL139" s="15">
        <f t="shared" ref="AL139:AL145" si="64">IF(AND($I139="AUD",$AF139="Class 5 BT"),5%,0%)</f>
        <v>0</v>
      </c>
      <c r="AM139" s="61">
        <f t="shared" si="54"/>
        <v>20884.46541993527</v>
      </c>
      <c r="AN139" s="63">
        <f t="shared" si="63"/>
        <v>0.17270406449249753</v>
      </c>
      <c r="AQ139" s="147"/>
    </row>
    <row r="140" spans="1:43">
      <c r="A140" s="10" t="str">
        <f>'Input - Bookings'!A140</f>
        <v>10-16</v>
      </c>
      <c r="B140" s="11" t="str">
        <f>'Input - Bookings'!C140</f>
        <v>A</v>
      </c>
      <c r="C140" s="11" t="str">
        <f>'Input - Bookings'!H140</f>
        <v>SG</v>
      </c>
      <c r="D140" s="24" t="str">
        <f>'Input - Bookings'!E140</f>
        <v>065</v>
      </c>
      <c r="E140" s="24" t="str">
        <f>'Input - Bookings'!G140</f>
        <v>HYSTER-YALE LIFT TRUCKS</v>
      </c>
      <c r="F140" s="24" t="str">
        <f>'Input - Bookings'!I140</f>
        <v>H65912</v>
      </c>
      <c r="G140" s="24" t="str">
        <f>'Input - Bookings'!L140</f>
        <v>C225</v>
      </c>
      <c r="H140" s="24" t="str">
        <f>'Input - Bookings'!M140</f>
        <v>J2.5GX</v>
      </c>
      <c r="I140" s="24" t="str">
        <f>'Input - Bookings'!B140</f>
        <v>USD</v>
      </c>
      <c r="J140" s="13" t="str">
        <f>IF(I140="USD",INDEX('AP Plants'!A:A,MATCH(G140,'AP Plants'!D:D,0)),INDEX('Australia Plants'!A:A,MATCH(G140,'Australia Plants'!D:D,0)))</f>
        <v>SN</v>
      </c>
      <c r="K140" s="73">
        <v>1</v>
      </c>
      <c r="L140" s="97">
        <v>40430</v>
      </c>
      <c r="M140" s="97">
        <v>25244.25</v>
      </c>
      <c r="N140" s="99">
        <v>0.17270406449249753</v>
      </c>
      <c r="O140" s="25">
        <f t="shared" si="57"/>
        <v>0.37560598565421721</v>
      </c>
      <c r="P140" s="14">
        <f>IFERROR(IF(OR(B140&amp;C140="PAU",B140&amp;C140="AIN"),VLOOKUP(B140&amp;C140&amp;G140,#REF!,8,0),VLOOKUP(B140&amp;G140,#REF!,8,0)),0)</f>
        <v>0</v>
      </c>
      <c r="Q140" s="15">
        <f t="shared" si="52"/>
        <v>0.17270406449249753</v>
      </c>
      <c r="R140" s="16" t="str">
        <f t="shared" si="58"/>
        <v>AOP</v>
      </c>
      <c r="S140" s="17">
        <f t="shared" si="59"/>
        <v>4359.784580064731</v>
      </c>
      <c r="T140" s="18">
        <f t="shared" si="60"/>
        <v>4359.784580064731</v>
      </c>
      <c r="U140" s="23">
        <f t="shared" si="55"/>
        <v>25244.25</v>
      </c>
      <c r="Y140" s="8" t="str">
        <f t="shared" si="61"/>
        <v>ASGH65912J2.5GX</v>
      </c>
      <c r="Z140" s="8" t="str">
        <f>IF(Y140='Input - Bookings'!Q133,"OK","Check")</f>
        <v>Check</v>
      </c>
      <c r="AA140" s="139"/>
      <c r="AB140" s="103"/>
      <c r="AC140" s="103"/>
      <c r="AD140" s="100">
        <v>20474.966097975757</v>
      </c>
      <c r="AE140" s="100"/>
      <c r="AF140" s="8" t="str">
        <f t="array" ref="AF140">_xlfn.XLOOKUP($G140,'AP Plants'!D:D,'AP Plants'!B:B)</f>
        <v>Class 1</v>
      </c>
      <c r="AG140" s="102"/>
      <c r="AH140" s="102">
        <f t="shared" si="50"/>
        <v>20474.966097975757</v>
      </c>
      <c r="AI140" s="44">
        <v>1.4999999999999999E-2</v>
      </c>
      <c r="AJ140" s="15">
        <f>_xlfn.XLOOKUP($AF140,Warranty!B:B,Warranty!E:E)</f>
        <v>5.0000000000000001E-3</v>
      </c>
      <c r="AK140" s="8">
        <f>IF($I140="AUD",VLOOKUP(RIGHT('Wk - Margins'!$G140,3),'AU Freight'!C:G,5,0),0)</f>
        <v>0</v>
      </c>
      <c r="AL140" s="15">
        <f t="shared" si="64"/>
        <v>0</v>
      </c>
      <c r="AM140" s="61">
        <f t="shared" si="54"/>
        <v>20884.46541993527</v>
      </c>
      <c r="AN140" s="63">
        <f t="shared" si="63"/>
        <v>0.17270406449249753</v>
      </c>
      <c r="AQ140" s="147"/>
    </row>
    <row r="141" spans="1:43">
      <c r="A141" s="10" t="str">
        <f>'Input - Bookings'!A141</f>
        <v>10-16</v>
      </c>
      <c r="B141" s="11" t="str">
        <f>'Input - Bookings'!C141</f>
        <v>A</v>
      </c>
      <c r="C141" s="11" t="str">
        <f>'Input - Bookings'!H141</f>
        <v>SG</v>
      </c>
      <c r="D141" s="24" t="str">
        <f>'Input - Bookings'!E141</f>
        <v>065</v>
      </c>
      <c r="E141" s="24" t="str">
        <f>'Input - Bookings'!G141</f>
        <v>HYSTER-YALE LIFT TRUCKS</v>
      </c>
      <c r="F141" s="24" t="str">
        <f>'Input - Bookings'!I141</f>
        <v>H65911</v>
      </c>
      <c r="G141" s="24" t="str">
        <f>'Input - Bookings'!L141</f>
        <v>C225</v>
      </c>
      <c r="H141" s="24" t="str">
        <f>'Input - Bookings'!M141</f>
        <v>J2.5GX</v>
      </c>
      <c r="I141" s="24" t="str">
        <f>'Input - Bookings'!B141</f>
        <v>USD</v>
      </c>
      <c r="J141" s="13" t="str">
        <f>IF(I141="USD",INDEX('AP Plants'!A:A,MATCH(G141,'AP Plants'!D:D,0)),INDEX('Australia Plants'!A:A,MATCH(G141,'Australia Plants'!D:D,0)))</f>
        <v>SN</v>
      </c>
      <c r="K141" s="73">
        <v>1</v>
      </c>
      <c r="L141" s="97">
        <v>40680</v>
      </c>
      <c r="M141" s="97">
        <v>25410.5</v>
      </c>
      <c r="N141" s="99">
        <v>0.17314836656714117</v>
      </c>
      <c r="O141" s="25">
        <f t="shared" si="57"/>
        <v>0.37535644051130779</v>
      </c>
      <c r="P141" s="14">
        <f>IFERROR(IF(OR(B141&amp;C141="PAU",B141&amp;C141="AIN"),VLOOKUP(B141&amp;C141&amp;G141,#REF!,8,0),VLOOKUP(B141&amp;G141,#REF!,8,0)),0)</f>
        <v>0</v>
      </c>
      <c r="Q141" s="15">
        <f t="shared" si="52"/>
        <v>0.17314836656714117</v>
      </c>
      <c r="R141" s="16" t="str">
        <f t="shared" si="58"/>
        <v>AOP</v>
      </c>
      <c r="S141" s="17">
        <f t="shared" si="59"/>
        <v>4399.786568654341</v>
      </c>
      <c r="T141" s="18">
        <f t="shared" si="60"/>
        <v>4399.786568654341</v>
      </c>
      <c r="U141" s="23">
        <f t="shared" si="55"/>
        <v>25410.5</v>
      </c>
      <c r="Y141" s="8" t="str">
        <f t="shared" si="61"/>
        <v>ASGH65911J2.5GX</v>
      </c>
      <c r="Z141" s="8" t="str">
        <f>IF(Y141='Input - Bookings'!Q134,"OK","Check")</f>
        <v>Check</v>
      </c>
      <c r="AA141" s="139"/>
      <c r="AB141" s="103"/>
      <c r="AC141" s="103"/>
      <c r="AD141" s="100">
        <v>20598.738658182021</v>
      </c>
      <c r="AE141" s="110"/>
      <c r="AF141" s="8" t="str">
        <f t="array" ref="AF141">_xlfn.XLOOKUP($G141,'AP Plants'!D:D,'AP Plants'!B:B)</f>
        <v>Class 1</v>
      </c>
      <c r="AG141" s="102"/>
      <c r="AH141" s="102">
        <f t="shared" si="50"/>
        <v>20598.738658182021</v>
      </c>
      <c r="AI141" s="44">
        <v>1.4999999999999999E-2</v>
      </c>
      <c r="AJ141" s="15">
        <f>_xlfn.XLOOKUP($AF141,Warranty!B:B,Warranty!E:E)</f>
        <v>5.0000000000000001E-3</v>
      </c>
      <c r="AK141" s="8">
        <f>IF($I141="AUD",VLOOKUP(RIGHT('Wk - Margins'!$G141,3),'AU Freight'!C:G,5,0),0)</f>
        <v>0</v>
      </c>
      <c r="AL141" s="15">
        <f t="shared" si="64"/>
        <v>0</v>
      </c>
      <c r="AM141" s="61">
        <f t="shared" si="54"/>
        <v>21010.713431345659</v>
      </c>
      <c r="AN141" s="63">
        <f t="shared" si="63"/>
        <v>0.17314836656714117</v>
      </c>
      <c r="AQ141" s="147"/>
    </row>
    <row r="142" spans="1:43">
      <c r="A142" s="10" t="str">
        <f>'Input - Bookings'!A142</f>
        <v>10-16</v>
      </c>
      <c r="B142" s="11" t="str">
        <f>'Input - Bookings'!C142</f>
        <v>A</v>
      </c>
      <c r="C142" s="11" t="str">
        <f>'Input - Bookings'!H142</f>
        <v>SG</v>
      </c>
      <c r="D142" s="24" t="str">
        <f>'Input - Bookings'!E142</f>
        <v>065</v>
      </c>
      <c r="E142" s="24" t="str">
        <f>'Input - Bookings'!G142</f>
        <v>HYSTER-YALE LIFT TRUCKS</v>
      </c>
      <c r="F142" s="24" t="str">
        <f>'Input - Bookings'!I142</f>
        <v>H65913</v>
      </c>
      <c r="G142" s="24" t="str">
        <f>'Input - Bookings'!L142</f>
        <v>C225</v>
      </c>
      <c r="H142" s="24" t="str">
        <f>'Input - Bookings'!M142</f>
        <v>J2.5GX</v>
      </c>
      <c r="I142" s="24" t="str">
        <f>'Input - Bookings'!B142</f>
        <v>USD</v>
      </c>
      <c r="J142" s="13" t="str">
        <f>IF(I142="USD",INDEX('AP Plants'!A:A,MATCH(G142,'AP Plants'!D:D,0)),INDEX('Australia Plants'!A:A,MATCH(G142,'Australia Plants'!D:D,0)))</f>
        <v>SN</v>
      </c>
      <c r="K142" s="73">
        <v>1</v>
      </c>
      <c r="L142" s="97">
        <v>40680</v>
      </c>
      <c r="M142" s="97">
        <v>25410.5</v>
      </c>
      <c r="N142" s="99">
        <v>0.17314836656714117</v>
      </c>
      <c r="O142" s="25">
        <f t="shared" si="57"/>
        <v>0.37535644051130779</v>
      </c>
      <c r="P142" s="14">
        <f>IFERROR(IF(OR(B142&amp;C142="PAU",B142&amp;C142="AIN"),VLOOKUP(B142&amp;C142&amp;G142,#REF!,8,0),VLOOKUP(B142&amp;G142,#REF!,8,0)),0)</f>
        <v>0</v>
      </c>
      <c r="Q142" s="15">
        <f t="shared" si="52"/>
        <v>0.17314836656714117</v>
      </c>
      <c r="R142" s="16" t="str">
        <f t="shared" si="58"/>
        <v>AOP</v>
      </c>
      <c r="S142" s="17">
        <f t="shared" si="59"/>
        <v>4399.786568654341</v>
      </c>
      <c r="T142" s="18">
        <f t="shared" si="60"/>
        <v>4399.786568654341</v>
      </c>
      <c r="U142" s="23">
        <f t="shared" si="55"/>
        <v>25410.5</v>
      </c>
      <c r="Y142" s="8" t="str">
        <f t="shared" si="61"/>
        <v>ASGH65913J2.5GX</v>
      </c>
      <c r="Z142" s="8" t="str">
        <f>IF(Y142='Input - Bookings'!Q135,"OK","Check")</f>
        <v>Check</v>
      </c>
      <c r="AA142" s="139"/>
      <c r="AB142" s="103"/>
      <c r="AC142" s="103"/>
      <c r="AD142" s="100">
        <v>20598.738658182021</v>
      </c>
      <c r="AE142" s="100"/>
      <c r="AF142" s="8" t="str">
        <f t="array" ref="AF142">_xlfn.XLOOKUP($G142,'AP Plants'!D:D,'AP Plants'!B:B)</f>
        <v>Class 1</v>
      </c>
      <c r="AG142" s="102"/>
      <c r="AH142" s="102">
        <f t="shared" si="50"/>
        <v>20598.738658182021</v>
      </c>
      <c r="AI142" s="44">
        <v>1.4999999999999999E-2</v>
      </c>
      <c r="AJ142" s="15">
        <f>_xlfn.XLOOKUP($AF142,Warranty!B:B,Warranty!E:E)</f>
        <v>5.0000000000000001E-3</v>
      </c>
      <c r="AK142" s="8">
        <f>IF($I142="AUD",VLOOKUP(RIGHT('Wk - Margins'!$G142,3),'AU Freight'!C:G,5,0),0)</f>
        <v>0</v>
      </c>
      <c r="AL142" s="15">
        <f t="shared" si="64"/>
        <v>0</v>
      </c>
      <c r="AM142" s="61">
        <f t="shared" si="54"/>
        <v>21010.713431345659</v>
      </c>
      <c r="AN142" s="63">
        <f t="shared" si="63"/>
        <v>0.17314836656714117</v>
      </c>
      <c r="AQ142" s="147"/>
    </row>
    <row r="143" spans="1:43">
      <c r="A143" s="10" t="str">
        <f>'Input - Bookings'!A143</f>
        <v>10-16</v>
      </c>
      <c r="B143" s="11" t="str">
        <f>'Input - Bookings'!C143</f>
        <v>A</v>
      </c>
      <c r="C143" s="11" t="str">
        <f>'Input - Bookings'!H143</f>
        <v>SG</v>
      </c>
      <c r="D143" s="24" t="str">
        <f>'Input - Bookings'!E143</f>
        <v>065</v>
      </c>
      <c r="E143" s="24" t="str">
        <f>'Input - Bookings'!G143</f>
        <v>HYSTER-YALE LIFT TRUCKS</v>
      </c>
      <c r="F143" s="24" t="str">
        <f>'Input - Bookings'!I143</f>
        <v>H65914</v>
      </c>
      <c r="G143" s="24" t="str">
        <f>'Input - Bookings'!L143</f>
        <v>C225</v>
      </c>
      <c r="H143" s="24" t="str">
        <f>'Input - Bookings'!M143</f>
        <v>J2.5GX</v>
      </c>
      <c r="I143" s="24" t="str">
        <f>'Input - Bookings'!B143</f>
        <v>USD</v>
      </c>
      <c r="J143" s="13" t="str">
        <f>IF(I143="USD",INDEX('AP Plants'!A:A,MATCH(G143,'AP Plants'!D:D,0)),INDEX('Australia Plants'!A:A,MATCH(G143,'Australia Plants'!D:D,0)))</f>
        <v>SN</v>
      </c>
      <c r="K143" s="73">
        <v>1</v>
      </c>
      <c r="L143" s="97">
        <v>40680</v>
      </c>
      <c r="M143" s="97">
        <v>25410.5</v>
      </c>
      <c r="N143" s="99">
        <v>0.17314836656714117</v>
      </c>
      <c r="O143" s="25">
        <f t="shared" si="57"/>
        <v>0.37535644051130779</v>
      </c>
      <c r="P143" s="14">
        <f>IFERROR(IF(OR(B143&amp;C143="PAU",B143&amp;C143="AIN"),VLOOKUP(B143&amp;C143&amp;G143,#REF!,8,0),VLOOKUP(B143&amp;G143,#REF!,8,0)),0)</f>
        <v>0</v>
      </c>
      <c r="Q143" s="15">
        <f t="shared" si="52"/>
        <v>0.17314836656714117</v>
      </c>
      <c r="R143" s="16" t="str">
        <f t="shared" si="58"/>
        <v>AOP</v>
      </c>
      <c r="S143" s="17">
        <f t="shared" si="59"/>
        <v>4399.786568654341</v>
      </c>
      <c r="T143" s="18">
        <f t="shared" si="60"/>
        <v>4399.786568654341</v>
      </c>
      <c r="U143" s="23">
        <f t="shared" si="55"/>
        <v>25410.5</v>
      </c>
      <c r="Y143" s="8" t="str">
        <f t="shared" si="61"/>
        <v>ASGH65914J2.5GX</v>
      </c>
      <c r="Z143" s="8" t="str">
        <f>IF(Y143='Input - Bookings'!Q136,"OK","Check")</f>
        <v>Check</v>
      </c>
      <c r="AA143" s="139"/>
      <c r="AB143" s="103"/>
      <c r="AC143" s="103"/>
      <c r="AD143" s="100">
        <v>20598.738658182021</v>
      </c>
      <c r="AE143" s="100"/>
      <c r="AF143" s="8" t="str">
        <f t="array" ref="AF143">_xlfn.XLOOKUP($G143,'AP Plants'!D:D,'AP Plants'!B:B)</f>
        <v>Class 1</v>
      </c>
      <c r="AG143" s="102"/>
      <c r="AH143" s="102">
        <f t="shared" si="50"/>
        <v>20598.738658182021</v>
      </c>
      <c r="AI143" s="44">
        <v>1.4999999999999999E-2</v>
      </c>
      <c r="AJ143" s="15">
        <f>_xlfn.XLOOKUP($AF143,Warranty!B:B,Warranty!E:E)</f>
        <v>5.0000000000000001E-3</v>
      </c>
      <c r="AK143" s="8">
        <f>IF($I143="AUD",VLOOKUP(RIGHT('Wk - Margins'!$G143,3),'AU Freight'!C:G,5,0),0)</f>
        <v>0</v>
      </c>
      <c r="AL143" s="15">
        <f t="shared" si="64"/>
        <v>0</v>
      </c>
      <c r="AM143" s="61">
        <f t="shared" si="54"/>
        <v>21010.713431345659</v>
      </c>
      <c r="AN143" s="63">
        <f t="shared" si="63"/>
        <v>0.17314836656714117</v>
      </c>
      <c r="AQ143" s="147"/>
    </row>
    <row r="144" spans="1:43">
      <c r="A144" s="10" t="str">
        <f>'Input - Bookings'!A144</f>
        <v>10-16</v>
      </c>
      <c r="B144" s="11" t="str">
        <f>'Input - Bookings'!C144</f>
        <v>A</v>
      </c>
      <c r="C144" s="11" t="str">
        <f>'Input - Bookings'!H144</f>
        <v>SG</v>
      </c>
      <c r="D144" s="24" t="str">
        <f>'Input - Bookings'!E144</f>
        <v>065</v>
      </c>
      <c r="E144" s="24" t="str">
        <f>'Input - Bookings'!G144</f>
        <v>HYSTER-YALE LIFT TRUCKS</v>
      </c>
      <c r="F144" s="24" t="str">
        <f>'Input - Bookings'!I144</f>
        <v>H65915</v>
      </c>
      <c r="G144" s="24" t="str">
        <f>'Input - Bookings'!L144</f>
        <v>C225</v>
      </c>
      <c r="H144" s="24" t="str">
        <f>'Input - Bookings'!M144</f>
        <v>J2.5GX</v>
      </c>
      <c r="I144" s="24" t="str">
        <f>'Input - Bookings'!B144</f>
        <v>USD</v>
      </c>
      <c r="J144" s="13" t="str">
        <f>IF(I144="USD",INDEX('AP Plants'!A:A,MATCH(G144,'AP Plants'!D:D,0)),INDEX('Australia Plants'!A:A,MATCH(G144,'Australia Plants'!D:D,0)))</f>
        <v>SN</v>
      </c>
      <c r="K144" s="73">
        <v>1</v>
      </c>
      <c r="L144" s="97">
        <v>40680</v>
      </c>
      <c r="M144" s="97">
        <v>25410.5</v>
      </c>
      <c r="N144" s="99">
        <v>0.17314836656714117</v>
      </c>
      <c r="O144" s="25">
        <f t="shared" si="57"/>
        <v>0.37535644051130779</v>
      </c>
      <c r="P144" s="14">
        <f>IFERROR(IF(OR(B144&amp;C144="PAU",B144&amp;C144="AIN"),VLOOKUP(B144&amp;C144&amp;G144,#REF!,8,0),VLOOKUP(B144&amp;G144,#REF!,8,0)),0)</f>
        <v>0</v>
      </c>
      <c r="Q144" s="15">
        <f t="shared" si="52"/>
        <v>0.17314836656714117</v>
      </c>
      <c r="R144" s="16" t="str">
        <f t="shared" si="58"/>
        <v>AOP</v>
      </c>
      <c r="S144" s="17">
        <f t="shared" si="59"/>
        <v>4399.786568654341</v>
      </c>
      <c r="T144" s="18">
        <f t="shared" si="60"/>
        <v>4399.786568654341</v>
      </c>
      <c r="U144" s="23">
        <f t="shared" si="55"/>
        <v>25410.5</v>
      </c>
      <c r="Y144" s="8" t="str">
        <f t="shared" si="61"/>
        <v>ASGH65915J2.5GX</v>
      </c>
      <c r="Z144" s="8" t="str">
        <f>IF(Y144='Input - Bookings'!S145,"OK","Check")</f>
        <v>Check</v>
      </c>
      <c r="AA144" s="139"/>
      <c r="AB144" s="103"/>
      <c r="AC144" s="103"/>
      <c r="AD144" s="100">
        <v>20598.738658182021</v>
      </c>
      <c r="AE144" s="100"/>
      <c r="AF144" s="8" t="str">
        <f t="array" ref="AF144">_xlfn.XLOOKUP($G144,'AP Plants'!D:D,'AP Plants'!B:B)</f>
        <v>Class 1</v>
      </c>
      <c r="AG144" s="102"/>
      <c r="AH144" s="102">
        <f t="shared" si="50"/>
        <v>20598.738658182021</v>
      </c>
      <c r="AI144" s="44">
        <v>1.4999999999999999E-2</v>
      </c>
      <c r="AJ144" s="15">
        <f>_xlfn.XLOOKUP($AF144,Warranty!B:B,Warranty!E:E)</f>
        <v>5.0000000000000001E-3</v>
      </c>
      <c r="AK144" s="8">
        <f>IF($I144="AUD",VLOOKUP(RIGHT('Wk - Margins'!$G144,3),'AU Freight'!C:G,5,0),0)</f>
        <v>0</v>
      </c>
      <c r="AL144" s="15">
        <f t="shared" si="64"/>
        <v>0</v>
      </c>
      <c r="AM144" s="61">
        <f t="shared" si="54"/>
        <v>21010.713431345659</v>
      </c>
      <c r="AN144" s="63">
        <f t="shared" si="63"/>
        <v>0.17314836656714117</v>
      </c>
      <c r="AQ144" s="147"/>
    </row>
    <row r="145" spans="1:43">
      <c r="A145" s="10" t="str">
        <f>'Input - Bookings'!A145</f>
        <v>10-16</v>
      </c>
      <c r="B145" s="11" t="str">
        <f>'Input - Bookings'!C145</f>
        <v>A</v>
      </c>
      <c r="C145" s="11" t="str">
        <f>'Input - Bookings'!H145</f>
        <v>TW</v>
      </c>
      <c r="D145" s="24" t="str">
        <f>'Input - Bookings'!E145</f>
        <v>065</v>
      </c>
      <c r="E145" s="24" t="str">
        <f>'Input - Bookings'!G145</f>
        <v>TA YIH MATERIALS HANDLING</v>
      </c>
      <c r="F145" s="24" t="str">
        <f>'Input - Bookings'!I145</f>
        <v>H65917</v>
      </c>
      <c r="G145" s="24" t="str">
        <f>'Input - Bookings'!L145</f>
        <v>A276</v>
      </c>
      <c r="H145" s="24" t="str">
        <f>'Input - Bookings'!M145</f>
        <v>J2.5XN</v>
      </c>
      <c r="I145" s="24" t="str">
        <f>'Input - Bookings'!B145</f>
        <v>USD</v>
      </c>
      <c r="J145" s="13" t="str">
        <f>IF(I145="USD",INDEX('AP Plants'!A:A,MATCH(G145,'AP Plants'!D:D,0)),INDEX('Australia Plants'!A:A,MATCH(G145,'Australia Plants'!D:D,0)))</f>
        <v>Craigavon</v>
      </c>
      <c r="K145" s="73">
        <v>1</v>
      </c>
      <c r="L145" s="97">
        <v>35990</v>
      </c>
      <c r="M145" s="97">
        <v>26135.75</v>
      </c>
      <c r="N145" s="99">
        <v>0.13988183107649299</v>
      </c>
      <c r="O145" s="25">
        <f t="shared" si="57"/>
        <v>0.27380522367324256</v>
      </c>
      <c r="P145" s="14">
        <f>IFERROR(IF(OR(B145&amp;C145="PAU",B145&amp;C145="AIN"),VLOOKUP(B145&amp;C145&amp;G145,#REF!,8,0),VLOOKUP(B145&amp;G145,#REF!,8,0)),0)</f>
        <v>0</v>
      </c>
      <c r="Q145" s="15">
        <f t="shared" si="52"/>
        <v>0.13988183107649299</v>
      </c>
      <c r="R145" s="16" t="str">
        <f t="shared" si="58"/>
        <v>AOP</v>
      </c>
      <c r="S145" s="17">
        <f t="shared" si="59"/>
        <v>3655.9165665574515</v>
      </c>
      <c r="T145" s="18">
        <f t="shared" si="60"/>
        <v>3655.9165665574515</v>
      </c>
      <c r="U145" s="23">
        <f t="shared" si="55"/>
        <v>26135.75</v>
      </c>
      <c r="Y145" s="8" t="str">
        <f t="shared" si="61"/>
        <v>ATWH65917J2.5XN</v>
      </c>
      <c r="Z145" s="8" t="str">
        <f>IF(Y145='Input - Bookings'!S146,"OK","Check")</f>
        <v>Check</v>
      </c>
      <c r="AA145" s="139"/>
      <c r="AB145" s="103">
        <v>0</v>
      </c>
      <c r="AC145" s="103">
        <v>190</v>
      </c>
      <c r="AD145" s="100"/>
      <c r="AE145" s="100">
        <v>20211.919999999998</v>
      </c>
      <c r="AF145" s="8" t="str">
        <f t="array" ref="AF145">_xlfn.XLOOKUP($G145,'AP Plants'!D:D,'AP Plants'!B:B)</f>
        <v>Class 1</v>
      </c>
      <c r="AG145" s="102"/>
      <c r="AH145" s="102">
        <f>(AE145*(1+VLOOKUP(J145,'Currency &amp; Conversion'!$F$12:$I$18,2,0))*'Currency &amp; Conversion'!$L$3)+((AB145+AC145)*90%)</f>
        <v>22039.052385727995</v>
      </c>
      <c r="AI145" s="44">
        <v>1.4999999999999999E-2</v>
      </c>
      <c r="AJ145" s="15">
        <f>_xlfn.XLOOKUP($AF145,Warranty!B:B,Warranty!E:E)</f>
        <v>5.0000000000000001E-3</v>
      </c>
      <c r="AK145" s="8">
        <f>IF($I145="AUD",VLOOKUP(RIGHT('Wk - Margins'!$G145,3),'AU Freight'!C:G,5,0),0)</f>
        <v>0</v>
      </c>
      <c r="AL145" s="15">
        <f t="shared" si="64"/>
        <v>0</v>
      </c>
      <c r="AM145" s="61">
        <f t="shared" si="54"/>
        <v>22479.833433442549</v>
      </c>
      <c r="AN145" s="63">
        <f t="shared" si="63"/>
        <v>0.13988183107649299</v>
      </c>
      <c r="AQ145" s="147"/>
    </row>
    <row r="146" spans="1:43">
      <c r="A146" s="10" t="str">
        <f>'Input - Bookings'!A146</f>
        <v>10-17</v>
      </c>
      <c r="B146" s="11" t="str">
        <f>'Input - Bookings'!C146</f>
        <v>A</v>
      </c>
      <c r="C146" s="11" t="str">
        <f>'Input - Bookings'!H146</f>
        <v>VN</v>
      </c>
      <c r="D146" s="24" t="str">
        <f>'Input - Bookings'!E146</f>
        <v>065</v>
      </c>
      <c r="E146" s="24" t="str">
        <f>'Input - Bookings'!G146</f>
        <v>MICO MACHINERY &amp;</v>
      </c>
      <c r="F146" s="146" t="str">
        <f>'Input - Bookings'!I146</f>
        <v>H66042</v>
      </c>
      <c r="G146" s="24" t="str">
        <f>'Input - Bookings'!L146</f>
        <v>A6W9</v>
      </c>
      <c r="H146" s="24" t="str">
        <f>'Input - Bookings'!M146</f>
        <v>PC1.5</v>
      </c>
      <c r="I146" s="24" t="str">
        <f>'Input - Bookings'!B146</f>
        <v>USD</v>
      </c>
      <c r="J146" s="13" t="str">
        <f>IF(I146="USD",INDEX('AP Plants'!A:A,MATCH(G146,'AP Plants'!D:D,0)),INDEX('Australia Plants'!A:A,MATCH(G146,'Australia Plants'!D:D,0)))</f>
        <v>Staxx</v>
      </c>
      <c r="K146" s="73">
        <v>1</v>
      </c>
      <c r="L146" s="97">
        <v>1440</v>
      </c>
      <c r="M146" s="97">
        <v>994.5</v>
      </c>
      <c r="N146" s="99">
        <v>0.31401631009980946</v>
      </c>
      <c r="O146" s="25">
        <f t="shared" si="57"/>
        <v>0.30937499999999996</v>
      </c>
      <c r="P146" s="14">
        <f>IFERROR(IF(OR(B146&amp;C146="PAU",B146&amp;C146="AIN"),VLOOKUP(B146&amp;C146&amp;G146,#REF!,8,0),VLOOKUP(B146&amp;G146,#REF!,8,0)),0)</f>
        <v>0</v>
      </c>
      <c r="Q146" s="15">
        <f t="shared" si="52"/>
        <v>0.31401631009980946</v>
      </c>
      <c r="R146" s="16" t="str">
        <f t="shared" si="58"/>
        <v>AOP</v>
      </c>
      <c r="S146" s="17">
        <f t="shared" si="59"/>
        <v>312.2892203942605</v>
      </c>
      <c r="T146" s="18">
        <f t="shared" si="60"/>
        <v>312.2892203942605</v>
      </c>
      <c r="U146" s="23">
        <f t="shared" si="55"/>
        <v>994.5</v>
      </c>
      <c r="Y146" s="8" t="str">
        <f t="shared" si="61"/>
        <v>AVNH66042PC1.5</v>
      </c>
      <c r="Z146" s="8" t="str">
        <f>IF(Y146='Input - Bookings'!Q139,"OK","Check")</f>
        <v>Check</v>
      </c>
      <c r="AA146" s="139"/>
      <c r="AB146" s="103"/>
      <c r="AC146" s="103"/>
      <c r="AD146" s="100">
        <f>652.340562724019+10</f>
        <v>662.34056272401904</v>
      </c>
      <c r="AE146" s="100"/>
      <c r="AF146" s="8" t="str">
        <f t="array" ref="AF146">_xlfn.XLOOKUP($G146,'AP Plants'!D:D,'AP Plants'!B:B)</f>
        <v>Class 3</v>
      </c>
      <c r="AG146" s="102"/>
      <c r="AH146" s="102">
        <f t="shared" ref="AH146:AH209" si="65">AD146</f>
        <v>662.34056272401904</v>
      </c>
      <c r="AI146" s="44">
        <v>1.4999999999999999E-2</v>
      </c>
      <c r="AJ146" s="15">
        <f>_xlfn.XLOOKUP($AF146,Warranty!B:B,Warranty!E:E)</f>
        <v>1.4999999999999999E-2</v>
      </c>
      <c r="AK146" s="8">
        <f>IF($I146="AUD",VLOOKUP(RIGHT('Wk - Margins'!$G146,3),'AU Freight'!C:G,5,0),0)</f>
        <v>0</v>
      </c>
      <c r="AL146" s="15">
        <f t="shared" ref="AL146:AL209" si="66">IF(AND($I146="AUD",$AF146="Class 5 BT"),5%,0%)</f>
        <v>0</v>
      </c>
      <c r="AM146" s="61">
        <f t="shared" ref="AM146:AM158" si="67">SUM(AG146:AH146)*(1+AI146+AJ146+AL146)+AK146</f>
        <v>682.2107796057395</v>
      </c>
      <c r="AN146" s="63">
        <f t="shared" ref="AN146:AN209" si="68">1-AM146/M146</f>
        <v>0.31401631009980946</v>
      </c>
      <c r="AQ146" s="147"/>
    </row>
    <row r="147" spans="1:43">
      <c r="A147" s="10" t="str">
        <f>'Input - Bookings'!A147</f>
        <v>10-17</v>
      </c>
      <c r="B147" s="11" t="str">
        <f>'Input - Bookings'!C147</f>
        <v>A</v>
      </c>
      <c r="C147" s="11" t="str">
        <f>'Input - Bookings'!H147</f>
        <v>VN</v>
      </c>
      <c r="D147" s="24" t="str">
        <f>'Input - Bookings'!E147</f>
        <v>065</v>
      </c>
      <c r="E147" s="24" t="str">
        <f>'Input - Bookings'!G147</f>
        <v>MICO MACHINERY &amp;</v>
      </c>
      <c r="F147" s="146" t="str">
        <f>'Input - Bookings'!I147</f>
        <v>H66043</v>
      </c>
      <c r="G147" s="24" t="str">
        <f>'Input - Bookings'!L147</f>
        <v>A6W9</v>
      </c>
      <c r="H147" s="24" t="str">
        <f>'Input - Bookings'!M147</f>
        <v>PC1.5</v>
      </c>
      <c r="I147" s="24" t="str">
        <f>'Input - Bookings'!B147</f>
        <v>USD</v>
      </c>
      <c r="J147" s="13" t="str">
        <f>IF(I147="USD",INDEX('AP Plants'!A:A,MATCH(G147,'AP Plants'!D:D,0)),INDEX('Australia Plants'!A:A,MATCH(G147,'Australia Plants'!D:D,0)))</f>
        <v>Staxx</v>
      </c>
      <c r="K147" s="73">
        <v>1</v>
      </c>
      <c r="L147" s="97">
        <v>1440</v>
      </c>
      <c r="M147" s="97">
        <v>994.5</v>
      </c>
      <c r="N147" s="99">
        <v>0.31401631009980946</v>
      </c>
      <c r="O147" s="25">
        <f t="shared" si="57"/>
        <v>0.30937499999999996</v>
      </c>
      <c r="P147" s="14">
        <f>IFERROR(IF(OR(B147&amp;C147="PAU",B147&amp;C147="AIN"),VLOOKUP(B147&amp;C147&amp;G147,#REF!,8,0),VLOOKUP(B147&amp;G147,#REF!,8,0)),0)</f>
        <v>0</v>
      </c>
      <c r="Q147" s="15">
        <f t="shared" si="52"/>
        <v>0.31401631009980946</v>
      </c>
      <c r="R147" s="16" t="str">
        <f t="shared" si="58"/>
        <v>AOP</v>
      </c>
      <c r="S147" s="17">
        <f t="shared" si="59"/>
        <v>312.2892203942605</v>
      </c>
      <c r="T147" s="18">
        <f t="shared" si="60"/>
        <v>312.2892203942605</v>
      </c>
      <c r="U147" s="23">
        <f t="shared" si="55"/>
        <v>994.5</v>
      </c>
      <c r="Y147" s="8" t="str">
        <f t="shared" si="61"/>
        <v>AVNH66043PC1.5</v>
      </c>
      <c r="Z147" s="8" t="str">
        <f>IF(Y147='Input - Bookings'!Q140,"OK","Check")</f>
        <v>Check</v>
      </c>
      <c r="AA147" s="139"/>
      <c r="AB147" s="103"/>
      <c r="AC147" s="103"/>
      <c r="AD147" s="100">
        <f t="shared" ref="AD147:AD155" si="69">652.340562724019+10</f>
        <v>662.34056272401904</v>
      </c>
      <c r="AE147" s="100"/>
      <c r="AF147" s="8" t="str">
        <f t="array" ref="AF147">_xlfn.XLOOKUP($G147,'AP Plants'!D:D,'AP Plants'!B:B)</f>
        <v>Class 3</v>
      </c>
      <c r="AG147" s="102"/>
      <c r="AH147" s="102">
        <f t="shared" si="65"/>
        <v>662.34056272401904</v>
      </c>
      <c r="AI147" s="44">
        <v>1.4999999999999999E-2</v>
      </c>
      <c r="AJ147" s="15">
        <f>_xlfn.XLOOKUP($AF147,Warranty!B:B,Warranty!E:E)</f>
        <v>1.4999999999999999E-2</v>
      </c>
      <c r="AK147" s="8">
        <f>IF($I147="AUD",VLOOKUP(RIGHT('Wk - Margins'!$G147,3),'AU Freight'!C:G,5,0),0)</f>
        <v>0</v>
      </c>
      <c r="AL147" s="15">
        <f t="shared" si="66"/>
        <v>0</v>
      </c>
      <c r="AM147" s="61">
        <f t="shared" si="67"/>
        <v>682.2107796057395</v>
      </c>
      <c r="AN147" s="63">
        <f t="shared" si="68"/>
        <v>0.31401631009980946</v>
      </c>
      <c r="AQ147" s="147"/>
    </row>
    <row r="148" spans="1:43">
      <c r="A148" s="10" t="str">
        <f>'Input - Bookings'!A148</f>
        <v>10-17</v>
      </c>
      <c r="B148" s="11" t="str">
        <f>'Input - Bookings'!C148</f>
        <v>A</v>
      </c>
      <c r="C148" s="11" t="str">
        <f>'Input - Bookings'!H148</f>
        <v>VN</v>
      </c>
      <c r="D148" s="24" t="str">
        <f>'Input - Bookings'!E148</f>
        <v>065</v>
      </c>
      <c r="E148" s="24" t="str">
        <f>'Input - Bookings'!G148</f>
        <v>MICO MACHINERY &amp;</v>
      </c>
      <c r="F148" s="146" t="str">
        <f>'Input - Bookings'!I148</f>
        <v>H66044</v>
      </c>
      <c r="G148" s="24" t="str">
        <f>'Input - Bookings'!L148</f>
        <v>A6W9</v>
      </c>
      <c r="H148" s="24" t="str">
        <f>'Input - Bookings'!M148</f>
        <v>PC1.5</v>
      </c>
      <c r="I148" s="24" t="str">
        <f>'Input - Bookings'!B148</f>
        <v>USD</v>
      </c>
      <c r="J148" s="13" t="str">
        <f>IF(I148="USD",INDEX('AP Plants'!A:A,MATCH(G148,'AP Plants'!D:D,0)),INDEX('Australia Plants'!A:A,MATCH(G148,'Australia Plants'!D:D,0)))</f>
        <v>Staxx</v>
      </c>
      <c r="K148" s="73">
        <v>1</v>
      </c>
      <c r="L148" s="97">
        <v>1440</v>
      </c>
      <c r="M148" s="97">
        <v>994.5</v>
      </c>
      <c r="N148" s="99">
        <v>0.31401631009980946</v>
      </c>
      <c r="O148" s="25">
        <f t="shared" si="57"/>
        <v>0.30937499999999996</v>
      </c>
      <c r="P148" s="14">
        <f>IFERROR(IF(OR(B148&amp;C148="PAU",B148&amp;C148="AIN"),VLOOKUP(B148&amp;C148&amp;G148,#REF!,8,0),VLOOKUP(B148&amp;G148,#REF!,8,0)),0)</f>
        <v>0</v>
      </c>
      <c r="Q148" s="15">
        <f t="shared" si="52"/>
        <v>0.31401631009980946</v>
      </c>
      <c r="R148" s="16" t="str">
        <f t="shared" si="58"/>
        <v>AOP</v>
      </c>
      <c r="S148" s="17">
        <f t="shared" si="59"/>
        <v>312.2892203942605</v>
      </c>
      <c r="T148" s="18">
        <f t="shared" si="60"/>
        <v>312.2892203942605</v>
      </c>
      <c r="U148" s="23">
        <f t="shared" si="55"/>
        <v>994.5</v>
      </c>
      <c r="Y148" s="8" t="str">
        <f t="shared" si="61"/>
        <v>AVNH66044PC1.5</v>
      </c>
      <c r="Z148" s="8" t="str">
        <f>IF(Y148='Input - Bookings'!Q141,"OK","Check")</f>
        <v>Check</v>
      </c>
      <c r="AA148" s="139"/>
      <c r="AB148" s="103"/>
      <c r="AC148" s="103"/>
      <c r="AD148" s="100">
        <f t="shared" si="69"/>
        <v>662.34056272401904</v>
      </c>
      <c r="AE148" s="100"/>
      <c r="AF148" s="8" t="str">
        <f t="array" ref="AF148">_xlfn.XLOOKUP($G148,'AP Plants'!D:D,'AP Plants'!B:B)</f>
        <v>Class 3</v>
      </c>
      <c r="AG148" s="102"/>
      <c r="AH148" s="102">
        <f t="shared" si="65"/>
        <v>662.34056272401904</v>
      </c>
      <c r="AI148" s="44">
        <v>1.4999999999999999E-2</v>
      </c>
      <c r="AJ148" s="15">
        <f>_xlfn.XLOOKUP($AF148,Warranty!B:B,Warranty!E:E)</f>
        <v>1.4999999999999999E-2</v>
      </c>
      <c r="AK148" s="8">
        <f>IF($I148="AUD",VLOOKUP(RIGHT('Wk - Margins'!$G148,3),'AU Freight'!C:G,5,0),0)</f>
        <v>0</v>
      </c>
      <c r="AL148" s="15">
        <f t="shared" si="66"/>
        <v>0</v>
      </c>
      <c r="AM148" s="61">
        <f t="shared" si="67"/>
        <v>682.2107796057395</v>
      </c>
      <c r="AN148" s="63">
        <f t="shared" si="68"/>
        <v>0.31401631009980946</v>
      </c>
      <c r="AQ148" s="147"/>
    </row>
    <row r="149" spans="1:43">
      <c r="A149" s="10" t="str">
        <f>'Input - Bookings'!A149</f>
        <v>10-17</v>
      </c>
      <c r="B149" s="11" t="str">
        <f>'Input - Bookings'!C149</f>
        <v>A</v>
      </c>
      <c r="C149" s="11" t="str">
        <f>'Input - Bookings'!H149</f>
        <v>VN</v>
      </c>
      <c r="D149" s="24" t="str">
        <f>'Input - Bookings'!E149</f>
        <v>065</v>
      </c>
      <c r="E149" s="24" t="str">
        <f>'Input - Bookings'!G149</f>
        <v>MICO MACHINERY &amp;</v>
      </c>
      <c r="F149" s="146" t="str">
        <f>'Input - Bookings'!I149</f>
        <v>H66045</v>
      </c>
      <c r="G149" s="24" t="str">
        <f>'Input - Bookings'!L149</f>
        <v>A6W9</v>
      </c>
      <c r="H149" s="24" t="str">
        <f>'Input - Bookings'!M149</f>
        <v>PC1.5</v>
      </c>
      <c r="I149" s="24" t="str">
        <f>'Input - Bookings'!B149</f>
        <v>USD</v>
      </c>
      <c r="J149" s="13" t="str">
        <f>IF(I149="USD",INDEX('AP Plants'!A:A,MATCH(G149,'AP Plants'!D:D,0)),INDEX('Australia Plants'!A:A,MATCH(G149,'Australia Plants'!D:D,0)))</f>
        <v>Staxx</v>
      </c>
      <c r="K149" s="73">
        <v>1</v>
      </c>
      <c r="L149" s="97">
        <v>1440</v>
      </c>
      <c r="M149" s="97">
        <v>994.5</v>
      </c>
      <c r="N149" s="99">
        <v>0.31401631009980946</v>
      </c>
      <c r="O149" s="25">
        <f t="shared" si="57"/>
        <v>0.30937499999999996</v>
      </c>
      <c r="P149" s="14">
        <f>IFERROR(IF(OR(B149&amp;C149="PAU",B149&amp;C149="AIN"),VLOOKUP(B149&amp;C149&amp;G149,#REF!,8,0),VLOOKUP(B149&amp;G149,#REF!,8,0)),0)</f>
        <v>0</v>
      </c>
      <c r="Q149" s="15">
        <f t="shared" si="52"/>
        <v>0.31401631009980946</v>
      </c>
      <c r="R149" s="16" t="str">
        <f t="shared" si="58"/>
        <v>AOP</v>
      </c>
      <c r="S149" s="17">
        <f t="shared" si="59"/>
        <v>312.2892203942605</v>
      </c>
      <c r="T149" s="18">
        <f t="shared" si="60"/>
        <v>312.2892203942605</v>
      </c>
      <c r="U149" s="23">
        <f t="shared" si="55"/>
        <v>994.5</v>
      </c>
      <c r="Y149" s="8" t="str">
        <f t="shared" si="61"/>
        <v>AVNH66045PC1.5</v>
      </c>
      <c r="Z149" s="8" t="str">
        <f>IF(Y149='Input - Bookings'!Q142,"OK","Check")</f>
        <v>Check</v>
      </c>
      <c r="AA149" s="139"/>
      <c r="AB149" s="103"/>
      <c r="AC149" s="103"/>
      <c r="AD149" s="100">
        <f t="shared" si="69"/>
        <v>662.34056272401904</v>
      </c>
      <c r="AE149" s="100"/>
      <c r="AF149" s="8" t="str">
        <f t="array" ref="AF149">_xlfn.XLOOKUP($G149,'AP Plants'!D:D,'AP Plants'!B:B)</f>
        <v>Class 3</v>
      </c>
      <c r="AG149" s="102"/>
      <c r="AH149" s="102">
        <f t="shared" si="65"/>
        <v>662.34056272401904</v>
      </c>
      <c r="AI149" s="44">
        <v>1.4999999999999999E-2</v>
      </c>
      <c r="AJ149" s="15">
        <f>_xlfn.XLOOKUP($AF149,Warranty!B:B,Warranty!E:E)</f>
        <v>1.4999999999999999E-2</v>
      </c>
      <c r="AK149" s="8">
        <f>IF($I149="AUD",VLOOKUP(RIGHT('Wk - Margins'!$G149,3),'AU Freight'!C:G,5,0),0)</f>
        <v>0</v>
      </c>
      <c r="AL149" s="15">
        <f t="shared" si="66"/>
        <v>0</v>
      </c>
      <c r="AM149" s="61">
        <f t="shared" si="67"/>
        <v>682.2107796057395</v>
      </c>
      <c r="AN149" s="63">
        <f t="shared" si="68"/>
        <v>0.31401631009980946</v>
      </c>
      <c r="AQ149" s="147"/>
    </row>
    <row r="150" spans="1:43">
      <c r="A150" s="10" t="str">
        <f>'Input - Bookings'!A150</f>
        <v>10-17</v>
      </c>
      <c r="B150" s="11" t="str">
        <f>'Input - Bookings'!C150</f>
        <v>A</v>
      </c>
      <c r="C150" s="11" t="str">
        <f>'Input - Bookings'!H150</f>
        <v>VN</v>
      </c>
      <c r="D150" s="24" t="str">
        <f>'Input - Bookings'!E150</f>
        <v>065</v>
      </c>
      <c r="E150" s="24" t="str">
        <f>'Input - Bookings'!G150</f>
        <v>MICO MACHINERY &amp;</v>
      </c>
      <c r="F150" s="146" t="str">
        <f>'Input - Bookings'!I150</f>
        <v>H66046</v>
      </c>
      <c r="G150" s="24" t="str">
        <f>'Input - Bookings'!L150</f>
        <v>A6W9</v>
      </c>
      <c r="H150" s="24" t="str">
        <f>'Input - Bookings'!M150</f>
        <v>PC1.5</v>
      </c>
      <c r="I150" s="24" t="str">
        <f>'Input - Bookings'!B150</f>
        <v>USD</v>
      </c>
      <c r="J150" s="13" t="str">
        <f>IF(I150="USD",INDEX('AP Plants'!A:A,MATCH(G150,'AP Plants'!D:D,0)),INDEX('Australia Plants'!A:A,MATCH(G150,'Australia Plants'!D:D,0)))</f>
        <v>Staxx</v>
      </c>
      <c r="K150" s="73">
        <v>1</v>
      </c>
      <c r="L150" s="97">
        <v>1440</v>
      </c>
      <c r="M150" s="97">
        <v>994.5</v>
      </c>
      <c r="N150" s="99">
        <v>0.31401631009980946</v>
      </c>
      <c r="O150" s="25">
        <f t="shared" si="57"/>
        <v>0.30937499999999996</v>
      </c>
      <c r="P150" s="14">
        <f>IFERROR(IF(OR(B150&amp;C150="PAU",B150&amp;C150="AIN"),VLOOKUP(B150&amp;C150&amp;G150,#REF!,8,0),VLOOKUP(B150&amp;G150,#REF!,8,0)),0)</f>
        <v>0</v>
      </c>
      <c r="Q150" s="15">
        <f t="shared" si="52"/>
        <v>0.31401631009980946</v>
      </c>
      <c r="R150" s="16" t="str">
        <f t="shared" si="58"/>
        <v>AOP</v>
      </c>
      <c r="S150" s="17">
        <f t="shared" si="59"/>
        <v>312.2892203942605</v>
      </c>
      <c r="T150" s="18">
        <f t="shared" si="60"/>
        <v>312.2892203942605</v>
      </c>
      <c r="U150" s="23">
        <f t="shared" si="55"/>
        <v>994.5</v>
      </c>
      <c r="Y150" s="8" t="str">
        <f t="shared" si="61"/>
        <v>AVNH66046PC1.5</v>
      </c>
      <c r="Z150" s="8" t="str">
        <f>IF(Y150='Input - Bookings'!Q143,"OK","Check")</f>
        <v>Check</v>
      </c>
      <c r="AA150" s="139"/>
      <c r="AB150" s="103"/>
      <c r="AC150" s="103"/>
      <c r="AD150" s="100">
        <f t="shared" si="69"/>
        <v>662.34056272401904</v>
      </c>
      <c r="AE150" s="100"/>
      <c r="AF150" s="8" t="str">
        <f t="array" ref="AF150">_xlfn.XLOOKUP($G150,'AP Plants'!D:D,'AP Plants'!B:B)</f>
        <v>Class 3</v>
      </c>
      <c r="AG150" s="102"/>
      <c r="AH150" s="102">
        <f t="shared" si="65"/>
        <v>662.34056272401904</v>
      </c>
      <c r="AI150" s="44">
        <v>1.4999999999999999E-2</v>
      </c>
      <c r="AJ150" s="15">
        <f>_xlfn.XLOOKUP($AF150,Warranty!B:B,Warranty!E:E)</f>
        <v>1.4999999999999999E-2</v>
      </c>
      <c r="AK150" s="8">
        <f>IF($I150="AUD",VLOOKUP(RIGHT('Wk - Margins'!$G150,3),'AU Freight'!C:G,5,0),0)</f>
        <v>0</v>
      </c>
      <c r="AL150" s="15">
        <f t="shared" si="66"/>
        <v>0</v>
      </c>
      <c r="AM150" s="61">
        <f t="shared" si="67"/>
        <v>682.2107796057395</v>
      </c>
      <c r="AN150" s="63">
        <f t="shared" si="68"/>
        <v>0.31401631009980946</v>
      </c>
      <c r="AQ150" s="147"/>
    </row>
    <row r="151" spans="1:43">
      <c r="A151" s="10" t="str">
        <f>'Input - Bookings'!A151</f>
        <v>10-17</v>
      </c>
      <c r="B151" s="11" t="str">
        <f>'Input - Bookings'!C151</f>
        <v>A</v>
      </c>
      <c r="C151" s="11" t="str">
        <f>'Input - Bookings'!H151</f>
        <v>VN</v>
      </c>
      <c r="D151" s="24" t="str">
        <f>'Input - Bookings'!E151</f>
        <v>065</v>
      </c>
      <c r="E151" s="24" t="str">
        <f>'Input - Bookings'!G151</f>
        <v>MICO MACHINERY &amp;</v>
      </c>
      <c r="F151" s="146" t="str">
        <f>'Input - Bookings'!I151</f>
        <v>H66047</v>
      </c>
      <c r="G151" s="24" t="str">
        <f>'Input - Bookings'!L151</f>
        <v>A6W9</v>
      </c>
      <c r="H151" s="24" t="str">
        <f>'Input - Bookings'!M151</f>
        <v>PC1.5</v>
      </c>
      <c r="I151" s="24" t="str">
        <f>'Input - Bookings'!B151</f>
        <v>USD</v>
      </c>
      <c r="J151" s="13" t="str">
        <f>IF(I151="USD",INDEX('AP Plants'!A:A,MATCH(G151,'AP Plants'!D:D,0)),INDEX('Australia Plants'!A:A,MATCH(G151,'Australia Plants'!D:D,0)))</f>
        <v>Staxx</v>
      </c>
      <c r="K151" s="73">
        <v>1</v>
      </c>
      <c r="L151" s="97">
        <v>1440</v>
      </c>
      <c r="M151" s="97">
        <v>994.5</v>
      </c>
      <c r="N151" s="99">
        <v>0.31401631009980946</v>
      </c>
      <c r="O151" s="25">
        <f t="shared" si="57"/>
        <v>0.30937499999999996</v>
      </c>
      <c r="P151" s="14">
        <f>IFERROR(IF(OR(B151&amp;C151="PAU",B151&amp;C151="AIN"),VLOOKUP(B151&amp;C151&amp;G151,#REF!,8,0),VLOOKUP(B151&amp;G151,#REF!,8,0)),0)</f>
        <v>0</v>
      </c>
      <c r="Q151" s="15">
        <f t="shared" si="52"/>
        <v>0.31401631009980946</v>
      </c>
      <c r="R151" s="16" t="str">
        <f t="shared" si="58"/>
        <v>AOP</v>
      </c>
      <c r="S151" s="17">
        <f t="shared" si="59"/>
        <v>312.2892203942605</v>
      </c>
      <c r="T151" s="18">
        <f t="shared" si="60"/>
        <v>312.2892203942605</v>
      </c>
      <c r="U151" s="23">
        <f t="shared" si="55"/>
        <v>994.5</v>
      </c>
      <c r="Y151" s="8" t="str">
        <f t="shared" si="61"/>
        <v>AVNH66047PC1.5</v>
      </c>
      <c r="Z151" s="8" t="str">
        <f>IF(Y151='Input - Bookings'!Q144,"OK","Check")</f>
        <v>Check</v>
      </c>
      <c r="AA151" s="139"/>
      <c r="AB151" s="103"/>
      <c r="AC151" s="103"/>
      <c r="AD151" s="100">
        <f t="shared" si="69"/>
        <v>662.34056272401904</v>
      </c>
      <c r="AE151" s="100"/>
      <c r="AF151" s="8" t="str">
        <f t="array" ref="AF151">_xlfn.XLOOKUP($G151,'AP Plants'!D:D,'AP Plants'!B:B)</f>
        <v>Class 3</v>
      </c>
      <c r="AG151" s="102"/>
      <c r="AH151" s="102">
        <f t="shared" si="65"/>
        <v>662.34056272401904</v>
      </c>
      <c r="AI151" s="44">
        <v>1.4999999999999999E-2</v>
      </c>
      <c r="AJ151" s="15">
        <f>_xlfn.XLOOKUP($AF151,Warranty!B:B,Warranty!E:E)</f>
        <v>1.4999999999999999E-2</v>
      </c>
      <c r="AK151" s="8">
        <f>IF($I151="AUD",VLOOKUP(RIGHT('Wk - Margins'!$G151,3),'AU Freight'!C:G,5,0),0)</f>
        <v>0</v>
      </c>
      <c r="AL151" s="15">
        <f t="shared" si="66"/>
        <v>0</v>
      </c>
      <c r="AM151" s="61">
        <f t="shared" si="67"/>
        <v>682.2107796057395</v>
      </c>
      <c r="AN151" s="63">
        <f t="shared" si="68"/>
        <v>0.31401631009980946</v>
      </c>
      <c r="AQ151" s="147"/>
    </row>
    <row r="152" spans="1:43">
      <c r="A152" s="10" t="str">
        <f>'Input - Bookings'!A152</f>
        <v>10-17</v>
      </c>
      <c r="B152" s="11" t="str">
        <f>'Input - Bookings'!C152</f>
        <v>A</v>
      </c>
      <c r="C152" s="11" t="str">
        <f>'Input - Bookings'!H152</f>
        <v>VN</v>
      </c>
      <c r="D152" s="24" t="str">
        <f>'Input - Bookings'!E152</f>
        <v>065</v>
      </c>
      <c r="E152" s="24" t="str">
        <f>'Input - Bookings'!G152</f>
        <v>MICO MACHINERY &amp;</v>
      </c>
      <c r="F152" s="146" t="str">
        <f>'Input - Bookings'!I152</f>
        <v>H66048</v>
      </c>
      <c r="G152" s="24" t="str">
        <f>'Input - Bookings'!L152</f>
        <v>A6W9</v>
      </c>
      <c r="H152" s="24" t="str">
        <f>'Input - Bookings'!M152</f>
        <v>PC1.5</v>
      </c>
      <c r="I152" s="24" t="str">
        <f>'Input - Bookings'!B152</f>
        <v>USD</v>
      </c>
      <c r="J152" s="13" t="str">
        <f>IF(I152="USD",INDEX('AP Plants'!A:A,MATCH(G152,'AP Plants'!D:D,0)),INDEX('Australia Plants'!A:A,MATCH(G152,'Australia Plants'!D:D,0)))</f>
        <v>Staxx</v>
      </c>
      <c r="K152" s="73">
        <v>1</v>
      </c>
      <c r="L152" s="97">
        <v>1440</v>
      </c>
      <c r="M152" s="97">
        <v>994.5</v>
      </c>
      <c r="N152" s="99">
        <v>0.31401631009980946</v>
      </c>
      <c r="O152" s="25">
        <f t="shared" si="57"/>
        <v>0.30937499999999996</v>
      </c>
      <c r="P152" s="14">
        <f>IFERROR(IF(OR(B152&amp;C152="PAU",B152&amp;C152="AIN"),VLOOKUP(B152&amp;C152&amp;G152,#REF!,8,0),VLOOKUP(B152&amp;G152,#REF!,8,0)),0)</f>
        <v>0</v>
      </c>
      <c r="Q152" s="15">
        <f t="shared" si="52"/>
        <v>0.31401631009980946</v>
      </c>
      <c r="R152" s="16" t="str">
        <f t="shared" si="58"/>
        <v>AOP</v>
      </c>
      <c r="S152" s="17">
        <f t="shared" si="59"/>
        <v>312.2892203942605</v>
      </c>
      <c r="T152" s="18">
        <f t="shared" si="60"/>
        <v>312.2892203942605</v>
      </c>
      <c r="U152" s="23">
        <f t="shared" si="55"/>
        <v>994.5</v>
      </c>
      <c r="Y152" s="8" t="str">
        <f t="shared" si="61"/>
        <v>AVNH66048PC1.5</v>
      </c>
      <c r="Z152" s="8" t="str">
        <f>IF(Y152='Input - Bookings'!S137,"OK","Check")</f>
        <v>Check</v>
      </c>
      <c r="AA152" s="139"/>
      <c r="AB152" s="103"/>
      <c r="AC152" s="103"/>
      <c r="AD152" s="100">
        <f t="shared" si="69"/>
        <v>662.34056272401904</v>
      </c>
      <c r="AE152" s="100"/>
      <c r="AF152" s="8" t="str">
        <f t="array" ref="AF152">_xlfn.XLOOKUP($G152,'AP Plants'!D:D,'AP Plants'!B:B)</f>
        <v>Class 3</v>
      </c>
      <c r="AG152" s="102"/>
      <c r="AH152" s="102">
        <f t="shared" si="65"/>
        <v>662.34056272401904</v>
      </c>
      <c r="AI152" s="44">
        <v>1.4999999999999999E-2</v>
      </c>
      <c r="AJ152" s="15">
        <f>_xlfn.XLOOKUP($AF152,Warranty!B:B,Warranty!E:E)</f>
        <v>1.4999999999999999E-2</v>
      </c>
      <c r="AK152" s="8">
        <f>IF($I152="AUD",VLOOKUP(RIGHT('Wk - Margins'!$G152,3),'AU Freight'!C:G,5,0),0)</f>
        <v>0</v>
      </c>
      <c r="AL152" s="15">
        <f t="shared" si="66"/>
        <v>0</v>
      </c>
      <c r="AM152" s="61">
        <f t="shared" si="67"/>
        <v>682.2107796057395</v>
      </c>
      <c r="AN152" s="63">
        <f t="shared" si="68"/>
        <v>0.31401631009980946</v>
      </c>
      <c r="AQ152" s="147"/>
    </row>
    <row r="153" spans="1:43">
      <c r="A153" s="10" t="str">
        <f>'Input - Bookings'!A153</f>
        <v>10-17</v>
      </c>
      <c r="B153" s="11" t="str">
        <f>'Input - Bookings'!C153</f>
        <v>A</v>
      </c>
      <c r="C153" s="11" t="str">
        <f>'Input - Bookings'!H153</f>
        <v>VN</v>
      </c>
      <c r="D153" s="24" t="str">
        <f>'Input - Bookings'!E153</f>
        <v>065</v>
      </c>
      <c r="E153" s="24" t="str">
        <f>'Input - Bookings'!G153</f>
        <v>MICO MACHINERY &amp;</v>
      </c>
      <c r="F153" s="146" t="str">
        <f>'Input - Bookings'!I153</f>
        <v>H66049</v>
      </c>
      <c r="G153" s="24" t="str">
        <f>'Input - Bookings'!L153</f>
        <v>A6W9</v>
      </c>
      <c r="H153" s="24" t="str">
        <f>'Input - Bookings'!M153</f>
        <v>PC1.5</v>
      </c>
      <c r="I153" s="24" t="str">
        <f>'Input - Bookings'!B153</f>
        <v>USD</v>
      </c>
      <c r="J153" s="13" t="str">
        <f>IF(I153="USD",INDEX('AP Plants'!A:A,MATCH(G153,'AP Plants'!D:D,0)),INDEX('Australia Plants'!A:A,MATCH(G153,'Australia Plants'!D:D,0)))</f>
        <v>Staxx</v>
      </c>
      <c r="K153" s="73">
        <v>1</v>
      </c>
      <c r="L153" s="97">
        <v>1440</v>
      </c>
      <c r="M153" s="97">
        <v>994.5</v>
      </c>
      <c r="N153" s="99">
        <v>0.31401631009980946</v>
      </c>
      <c r="O153" s="25">
        <f t="shared" si="57"/>
        <v>0.30937499999999996</v>
      </c>
      <c r="P153" s="14">
        <f>IFERROR(IF(OR(B153&amp;C153="PAU",B153&amp;C153="AIN"),VLOOKUP(B153&amp;C153&amp;G153,#REF!,8,0),VLOOKUP(B153&amp;G153,#REF!,8,0)),0)</f>
        <v>0</v>
      </c>
      <c r="Q153" s="15">
        <f t="shared" si="52"/>
        <v>0.31401631009980946</v>
      </c>
      <c r="R153" s="16" t="str">
        <f t="shared" si="58"/>
        <v>AOP</v>
      </c>
      <c r="S153" s="17">
        <f t="shared" si="59"/>
        <v>312.2892203942605</v>
      </c>
      <c r="T153" s="18">
        <f t="shared" si="60"/>
        <v>312.2892203942605</v>
      </c>
      <c r="U153" s="23">
        <f t="shared" si="55"/>
        <v>994.5</v>
      </c>
      <c r="Y153" s="8" t="str">
        <f t="shared" si="61"/>
        <v>AVNH66049PC1.5</v>
      </c>
      <c r="Z153" s="8" t="str">
        <f>IF(Y153='Input - Bookings'!S157,"OK","Check")</f>
        <v>Check</v>
      </c>
      <c r="AA153" s="139"/>
      <c r="AB153" s="103"/>
      <c r="AC153" s="103"/>
      <c r="AD153" s="100">
        <f t="shared" si="69"/>
        <v>662.34056272401904</v>
      </c>
      <c r="AE153" s="100"/>
      <c r="AF153" s="8" t="str">
        <f t="array" ref="AF153">_xlfn.XLOOKUP($G153,'AP Plants'!D:D,'AP Plants'!B:B)</f>
        <v>Class 3</v>
      </c>
      <c r="AG153" s="102"/>
      <c r="AH153" s="102">
        <f t="shared" si="65"/>
        <v>662.34056272401904</v>
      </c>
      <c r="AI153" s="44">
        <v>1.4999999999999999E-2</v>
      </c>
      <c r="AJ153" s="15">
        <f>_xlfn.XLOOKUP($AF153,Warranty!B:B,Warranty!E:E)</f>
        <v>1.4999999999999999E-2</v>
      </c>
      <c r="AK153" s="8">
        <f>IF($I153="AUD",VLOOKUP(RIGHT('Wk - Margins'!$G153,3),'AU Freight'!C:G,5,0),0)</f>
        <v>0</v>
      </c>
      <c r="AL153" s="15">
        <f t="shared" si="66"/>
        <v>0</v>
      </c>
      <c r="AM153" s="61">
        <f t="shared" si="67"/>
        <v>682.2107796057395</v>
      </c>
      <c r="AN153" s="63">
        <f t="shared" si="68"/>
        <v>0.31401631009980946</v>
      </c>
      <c r="AQ153" s="147"/>
    </row>
    <row r="154" spans="1:43">
      <c r="A154" s="10" t="str">
        <f>'Input - Bookings'!A154</f>
        <v>10-17</v>
      </c>
      <c r="B154" s="11" t="str">
        <f>'Input - Bookings'!C154</f>
        <v>A</v>
      </c>
      <c r="C154" s="11" t="str">
        <f>'Input - Bookings'!H154</f>
        <v>VN</v>
      </c>
      <c r="D154" s="24" t="str">
        <f>'Input - Bookings'!E154</f>
        <v>065</v>
      </c>
      <c r="E154" s="24" t="str">
        <f>'Input - Bookings'!G154</f>
        <v>MICO MACHINERY &amp;</v>
      </c>
      <c r="F154" s="146" t="str">
        <f>'Input - Bookings'!I154</f>
        <v>H66050</v>
      </c>
      <c r="G154" s="24" t="str">
        <f>'Input - Bookings'!L154</f>
        <v>A6W9</v>
      </c>
      <c r="H154" s="24" t="str">
        <f>'Input - Bookings'!M154</f>
        <v>PC1.5</v>
      </c>
      <c r="I154" s="24" t="str">
        <f>'Input - Bookings'!B154</f>
        <v>USD</v>
      </c>
      <c r="J154" s="13" t="str">
        <f>IF(I154="USD",INDEX('AP Plants'!A:A,MATCH(G154,'AP Plants'!D:D,0)),INDEX('Australia Plants'!A:A,MATCH(G154,'Australia Plants'!D:D,0)))</f>
        <v>Staxx</v>
      </c>
      <c r="K154" s="73">
        <v>1</v>
      </c>
      <c r="L154" s="97">
        <v>1440</v>
      </c>
      <c r="M154" s="97">
        <v>994.5</v>
      </c>
      <c r="N154" s="99">
        <v>0.31401631009980946</v>
      </c>
      <c r="O154" s="25">
        <f t="shared" si="57"/>
        <v>0.30937499999999996</v>
      </c>
      <c r="P154" s="14">
        <f>IFERROR(IF(OR(B154&amp;C154="PAU",B154&amp;C154="AIN"),VLOOKUP(B154&amp;C154&amp;G154,#REF!,8,0),VLOOKUP(B154&amp;G154,#REF!,8,0)),0)</f>
        <v>0</v>
      </c>
      <c r="Q154" s="15">
        <f t="shared" si="52"/>
        <v>0.31401631009980946</v>
      </c>
      <c r="R154" s="16" t="str">
        <f t="shared" si="58"/>
        <v>AOP</v>
      </c>
      <c r="S154" s="17">
        <f t="shared" si="59"/>
        <v>312.2892203942605</v>
      </c>
      <c r="T154" s="18">
        <f t="shared" si="60"/>
        <v>312.2892203942605</v>
      </c>
      <c r="U154" s="23">
        <f t="shared" si="55"/>
        <v>994.5</v>
      </c>
      <c r="Y154" s="8" t="str">
        <f t="shared" si="61"/>
        <v>AVNH66050PC1.5</v>
      </c>
      <c r="Z154" s="8" t="str">
        <f>IF(Y154='Input - Bookings'!S158,"OK","Check")</f>
        <v>Check</v>
      </c>
      <c r="AA154" s="139"/>
      <c r="AB154" s="103"/>
      <c r="AC154" s="103"/>
      <c r="AD154" s="100">
        <f t="shared" si="69"/>
        <v>662.34056272401904</v>
      </c>
      <c r="AE154" s="100"/>
      <c r="AF154" s="8" t="str">
        <f t="array" ref="AF154">_xlfn.XLOOKUP($G154,'AP Plants'!D:D,'AP Plants'!B:B)</f>
        <v>Class 3</v>
      </c>
      <c r="AG154" s="102"/>
      <c r="AH154" s="102">
        <f t="shared" si="65"/>
        <v>662.34056272401904</v>
      </c>
      <c r="AI154" s="44">
        <v>1.4999999999999999E-2</v>
      </c>
      <c r="AJ154" s="15">
        <f>_xlfn.XLOOKUP($AF154,Warranty!B:B,Warranty!E:E)</f>
        <v>1.4999999999999999E-2</v>
      </c>
      <c r="AK154" s="8">
        <f>IF($I154="AUD",VLOOKUP(RIGHT('Wk - Margins'!$G154,3),'AU Freight'!C:G,5,0),0)</f>
        <v>0</v>
      </c>
      <c r="AL154" s="15">
        <f t="shared" si="66"/>
        <v>0</v>
      </c>
      <c r="AM154" s="61">
        <f t="shared" si="67"/>
        <v>682.2107796057395</v>
      </c>
      <c r="AN154" s="63">
        <f t="shared" si="68"/>
        <v>0.31401631009980946</v>
      </c>
      <c r="AQ154" s="147"/>
    </row>
    <row r="155" spans="1:43">
      <c r="A155" s="10" t="str">
        <f>'Input - Bookings'!A155</f>
        <v>10-17</v>
      </c>
      <c r="B155" s="11" t="str">
        <f>'Input - Bookings'!C155</f>
        <v>A</v>
      </c>
      <c r="C155" s="11" t="str">
        <f>'Input - Bookings'!H155</f>
        <v>VN</v>
      </c>
      <c r="D155" s="24" t="str">
        <f>'Input - Bookings'!E155</f>
        <v>065</v>
      </c>
      <c r="E155" s="24" t="str">
        <f>'Input - Bookings'!G155</f>
        <v>MICO MACHINERY &amp;</v>
      </c>
      <c r="F155" s="146" t="str">
        <f>'Input - Bookings'!I155</f>
        <v>H66051</v>
      </c>
      <c r="G155" s="24" t="str">
        <f>'Input - Bookings'!L155</f>
        <v>A6W9</v>
      </c>
      <c r="H155" s="24" t="str">
        <f>'Input - Bookings'!M155</f>
        <v>PC1.5</v>
      </c>
      <c r="I155" s="24" t="str">
        <f>'Input - Bookings'!B155</f>
        <v>USD</v>
      </c>
      <c r="J155" s="13" t="str">
        <f>IF(I155="USD",INDEX('AP Plants'!A:A,MATCH(G155,'AP Plants'!D:D,0)),INDEX('Australia Plants'!A:A,MATCH(G155,'Australia Plants'!D:D,0)))</f>
        <v>Staxx</v>
      </c>
      <c r="K155" s="73">
        <v>1</v>
      </c>
      <c r="L155" s="97">
        <v>1440</v>
      </c>
      <c r="M155" s="97">
        <v>994.5</v>
      </c>
      <c r="N155" s="99">
        <v>0.31401631009980946</v>
      </c>
      <c r="O155" s="25">
        <f t="shared" si="57"/>
        <v>0.30937499999999996</v>
      </c>
      <c r="P155" s="14">
        <f>IFERROR(IF(OR(B155&amp;C155="PAU",B155&amp;C155="AIN"),VLOOKUP(B155&amp;C155&amp;G155,#REF!,8,0),VLOOKUP(B155&amp;G155,#REF!,8,0)),0)</f>
        <v>0</v>
      </c>
      <c r="Q155" s="15">
        <f t="shared" si="52"/>
        <v>0.31401631009980946</v>
      </c>
      <c r="R155" s="16" t="str">
        <f t="shared" si="58"/>
        <v>AOP</v>
      </c>
      <c r="S155" s="17">
        <f t="shared" si="59"/>
        <v>312.2892203942605</v>
      </c>
      <c r="T155" s="18">
        <f t="shared" si="60"/>
        <v>312.2892203942605</v>
      </c>
      <c r="U155" s="23">
        <f t="shared" si="55"/>
        <v>994.5</v>
      </c>
      <c r="Y155" s="8" t="str">
        <f t="shared" si="61"/>
        <v>AVNH66051PC1.5</v>
      </c>
      <c r="Z155" s="8" t="str">
        <f>IF(Y155='Input - Bookings'!S160,"OK","Check")</f>
        <v>Check</v>
      </c>
      <c r="AA155" s="118"/>
      <c r="AB155" s="103"/>
      <c r="AC155" s="103"/>
      <c r="AD155" s="100">
        <f t="shared" si="69"/>
        <v>662.34056272401904</v>
      </c>
      <c r="AE155" s="100"/>
      <c r="AF155" s="8" t="str">
        <f t="array" ref="AF155">_xlfn.XLOOKUP($G155,'AP Plants'!D:D,'AP Plants'!B:B)</f>
        <v>Class 3</v>
      </c>
      <c r="AG155" s="102"/>
      <c r="AH155" s="102">
        <f t="shared" si="65"/>
        <v>662.34056272401904</v>
      </c>
      <c r="AI155" s="44">
        <v>1.4999999999999999E-2</v>
      </c>
      <c r="AJ155" s="15">
        <f>_xlfn.XLOOKUP($AF155,Warranty!B:B,Warranty!E:E)</f>
        <v>1.4999999999999999E-2</v>
      </c>
      <c r="AK155" s="8">
        <f>IF($I155="AUD",VLOOKUP(RIGHT('Wk - Margins'!$G155,3),'AU Freight'!C:G,5,0),0)</f>
        <v>0</v>
      </c>
      <c r="AL155" s="15">
        <f t="shared" si="66"/>
        <v>0</v>
      </c>
      <c r="AM155" s="61">
        <f t="shared" si="67"/>
        <v>682.2107796057395</v>
      </c>
      <c r="AN155" s="63">
        <f t="shared" si="68"/>
        <v>0.31401631009980946</v>
      </c>
      <c r="AQ155" s="147"/>
    </row>
    <row r="156" spans="1:43">
      <c r="A156" s="10" t="str">
        <f>'Input - Bookings'!A156</f>
        <v>10-17</v>
      </c>
      <c r="B156" s="11" t="str">
        <f>'Input - Bookings'!C156</f>
        <v>A</v>
      </c>
      <c r="C156" s="11" t="str">
        <f>'Input - Bookings'!H156</f>
        <v>IN</v>
      </c>
      <c r="D156" s="24" t="str">
        <f>'Input - Bookings'!E156</f>
        <v>067</v>
      </c>
      <c r="E156" s="24" t="str">
        <f>'Input - Bookings'!G156</f>
        <v>ELECTROMECH LIFT TRUCKS</v>
      </c>
      <c r="F156" s="24" t="str">
        <f>'Input - Bookings'!I156</f>
        <v>H66058</v>
      </c>
      <c r="G156" s="24" t="str">
        <f>'Input - Bookings'!L156</f>
        <v>A7S4</v>
      </c>
      <c r="H156" s="24" t="str">
        <f>'Input - Bookings'!M156</f>
        <v>ERP35UX</v>
      </c>
      <c r="I156" s="24" t="str">
        <f>'Input - Bookings'!B156</f>
        <v>USD</v>
      </c>
      <c r="J156" s="13" t="str">
        <f>IF(I156="USD",INDEX('AP Plants'!A:A,MATCH(G156,'AP Plants'!D:D,0)),INDEX('Australia Plants'!A:A,MATCH(G156,'Australia Plants'!D:D,0)))</f>
        <v>Maximal</v>
      </c>
      <c r="K156" s="73">
        <v>1</v>
      </c>
      <c r="L156" s="97">
        <v>20760</v>
      </c>
      <c r="M156" s="97">
        <v>13238</v>
      </c>
      <c r="N156" s="99">
        <v>7.0398153534451557E-2</v>
      </c>
      <c r="O156" s="25">
        <f t="shared" si="57"/>
        <v>0.36233140655105978</v>
      </c>
      <c r="P156" s="14">
        <f>IFERROR(IF(OR(B156&amp;C156="PAU",B156&amp;C156="AIN"),VLOOKUP(B156&amp;C156&amp;G156,#REF!,8,0),VLOOKUP(B156&amp;G156,#REF!,8,0)),0)</f>
        <v>0</v>
      </c>
      <c r="Q156" s="15">
        <f t="shared" si="52"/>
        <v>7.0398153534451557E-2</v>
      </c>
      <c r="R156" s="16" t="str">
        <f t="shared" si="58"/>
        <v>AOP</v>
      </c>
      <c r="S156" s="17">
        <f t="shared" si="59"/>
        <v>931.93075648906972</v>
      </c>
      <c r="T156" s="18">
        <f t="shared" si="60"/>
        <v>931.93075648906972</v>
      </c>
      <c r="U156" s="23">
        <f t="shared" si="55"/>
        <v>13238</v>
      </c>
      <c r="Y156" s="8" t="str">
        <f t="shared" si="61"/>
        <v>AINH66058ERP35UX</v>
      </c>
      <c r="Z156" s="8" t="str">
        <f>IF(Y156='Input - Bookings'!Q728,"OK","Check")</f>
        <v>Check</v>
      </c>
      <c r="AA156" s="139"/>
      <c r="AB156" s="103"/>
      <c r="AC156" s="103"/>
      <c r="AD156" s="100">
        <v>12064.773768147974</v>
      </c>
      <c r="AE156" s="110"/>
      <c r="AF156" s="8" t="str">
        <f t="array" ref="AF156">_xlfn.XLOOKUP($G156,'AP Plants'!D:D,'AP Plants'!B:B)</f>
        <v>Class 1</v>
      </c>
      <c r="AG156" s="102"/>
      <c r="AH156" s="102">
        <f t="shared" si="65"/>
        <v>12064.773768147974</v>
      </c>
      <c r="AI156" s="44">
        <v>1.4999999999999999E-2</v>
      </c>
      <c r="AJ156" s="15">
        <f>_xlfn.XLOOKUP($AF156,Warranty!B:B,Warranty!E:E)</f>
        <v>5.0000000000000001E-3</v>
      </c>
      <c r="AK156" s="8">
        <f>IF($I156="AUD",VLOOKUP(RIGHT('Wk - Margins'!$G156,3),'AU Freight'!C:G,5,0),0)</f>
        <v>0</v>
      </c>
      <c r="AL156" s="15">
        <f t="shared" si="66"/>
        <v>0</v>
      </c>
      <c r="AM156" s="61">
        <f t="shared" si="67"/>
        <v>12306.06924351093</v>
      </c>
      <c r="AN156" s="63">
        <f t="shared" si="68"/>
        <v>7.0398153534451557E-2</v>
      </c>
      <c r="AQ156" s="147"/>
    </row>
    <row r="157" spans="1:43">
      <c r="A157" s="10" t="str">
        <f>'Input - Bookings'!A157</f>
        <v>10-17</v>
      </c>
      <c r="B157" s="11" t="str">
        <f>'Input - Bookings'!C157</f>
        <v>A</v>
      </c>
      <c r="C157" s="11" t="str">
        <f>'Input - Bookings'!H157</f>
        <v>IN</v>
      </c>
      <c r="D157" s="24" t="str">
        <f>'Input - Bookings'!E157</f>
        <v>067</v>
      </c>
      <c r="E157" s="24" t="str">
        <f>'Input - Bookings'!G157</f>
        <v>ELECTROMECH LIFT TRUCKS</v>
      </c>
      <c r="F157" s="24" t="str">
        <f>'Input - Bookings'!I157</f>
        <v>H66059</v>
      </c>
      <c r="G157" s="24" t="str">
        <f>'Input - Bookings'!L157</f>
        <v>A7S4</v>
      </c>
      <c r="H157" s="24" t="str">
        <f>'Input - Bookings'!M157</f>
        <v>ERP35UX</v>
      </c>
      <c r="I157" s="24" t="str">
        <f>'Input - Bookings'!B157</f>
        <v>USD</v>
      </c>
      <c r="J157" s="13" t="str">
        <f>IF(I157="USD",INDEX('AP Plants'!A:A,MATCH(G157,'AP Plants'!D:D,0)),INDEX('Australia Plants'!A:A,MATCH(G157,'Australia Plants'!D:D,0)))</f>
        <v>Maximal</v>
      </c>
      <c r="K157" s="73">
        <v>1</v>
      </c>
      <c r="L157" s="97">
        <v>20760</v>
      </c>
      <c r="M157" s="97">
        <v>13238</v>
      </c>
      <c r="N157" s="99">
        <v>7.0398153534451557E-2</v>
      </c>
      <c r="O157" s="25">
        <f t="shared" si="57"/>
        <v>0.36233140655105978</v>
      </c>
      <c r="P157" s="14">
        <f>IFERROR(IF(OR(B157&amp;C157="PAU",B157&amp;C157="AIN"),VLOOKUP(B157&amp;C157&amp;G157,#REF!,8,0),VLOOKUP(B157&amp;G157,#REF!,8,0)),0)</f>
        <v>0</v>
      </c>
      <c r="Q157" s="15">
        <f t="shared" si="52"/>
        <v>7.0398153534451557E-2</v>
      </c>
      <c r="R157" s="16" t="str">
        <f t="shared" si="58"/>
        <v>AOP</v>
      </c>
      <c r="S157" s="17">
        <f t="shared" si="59"/>
        <v>931.93075648906972</v>
      </c>
      <c r="T157" s="18">
        <f t="shared" si="60"/>
        <v>931.93075648906972</v>
      </c>
      <c r="U157" s="23">
        <f t="shared" si="55"/>
        <v>13238</v>
      </c>
      <c r="Y157" s="8" t="str">
        <f t="shared" si="61"/>
        <v>AINH66059ERP35UX</v>
      </c>
      <c r="Z157" s="8" t="str">
        <f>IF(Y157='Input - Bookings'!Q727,"OK","Check")</f>
        <v>Check</v>
      </c>
      <c r="AA157" s="140"/>
      <c r="AB157" s="103"/>
      <c r="AC157" s="103"/>
      <c r="AD157" s="100">
        <v>12064.773768147974</v>
      </c>
      <c r="AE157" s="110"/>
      <c r="AF157" s="8" t="str">
        <f t="array" ref="AF157">_xlfn.XLOOKUP($G157,'AP Plants'!D:D,'AP Plants'!B:B)</f>
        <v>Class 1</v>
      </c>
      <c r="AG157" s="102"/>
      <c r="AH157" s="102">
        <f t="shared" si="65"/>
        <v>12064.773768147974</v>
      </c>
      <c r="AI157" s="44">
        <v>1.4999999999999999E-2</v>
      </c>
      <c r="AJ157" s="15">
        <f>_xlfn.XLOOKUP($AF157,Warranty!B:B,Warranty!E:E)</f>
        <v>5.0000000000000001E-3</v>
      </c>
      <c r="AK157" s="8">
        <f>IF($I157="AUD",VLOOKUP(RIGHT('Wk - Margins'!$G157,3),'AU Freight'!C:G,5,0),0)</f>
        <v>0</v>
      </c>
      <c r="AL157" s="15">
        <f t="shared" si="66"/>
        <v>0</v>
      </c>
      <c r="AM157" s="61">
        <f t="shared" si="67"/>
        <v>12306.06924351093</v>
      </c>
      <c r="AN157" s="63">
        <f t="shared" si="68"/>
        <v>7.0398153534451557E-2</v>
      </c>
      <c r="AQ157" s="147"/>
    </row>
    <row r="158" spans="1:43">
      <c r="A158" s="10" t="str">
        <f>'Input - Bookings'!A158</f>
        <v>10-17</v>
      </c>
      <c r="B158" s="11" t="str">
        <f>'Input - Bookings'!C158</f>
        <v>A</v>
      </c>
      <c r="C158" s="11" t="str">
        <f>'Input - Bookings'!H158</f>
        <v>IN</v>
      </c>
      <c r="D158" s="24" t="str">
        <f>'Input - Bookings'!E158</f>
        <v>067</v>
      </c>
      <c r="E158" s="24" t="str">
        <f>'Input - Bookings'!G158</f>
        <v>ELECTROMECH LIFT TRUCKS</v>
      </c>
      <c r="F158" s="24" t="str">
        <f>'Input - Bookings'!I158</f>
        <v>H66060</v>
      </c>
      <c r="G158" s="24" t="str">
        <f>'Input - Bookings'!L158</f>
        <v>A7S0</v>
      </c>
      <c r="H158" s="24" t="str">
        <f>'Input - Bookings'!M158</f>
        <v>KDP35UX</v>
      </c>
      <c r="I158" s="24" t="str">
        <f>'Input - Bookings'!B158</f>
        <v>USD</v>
      </c>
      <c r="J158" s="13" t="str">
        <f>IF(I158="USD",INDEX('AP Plants'!A:A,MATCH(G158,'AP Plants'!D:D,0)),INDEX('Australia Plants'!A:A,MATCH(G158,'Australia Plants'!D:D,0)))</f>
        <v>Maximal</v>
      </c>
      <c r="K158" s="73">
        <v>1</v>
      </c>
      <c r="L158" s="97">
        <v>24300</v>
      </c>
      <c r="M158" s="97">
        <v>19440</v>
      </c>
      <c r="N158" s="99">
        <v>0.31252137201932495</v>
      </c>
      <c r="O158" s="25">
        <f t="shared" si="57"/>
        <v>0.19999999999999996</v>
      </c>
      <c r="P158" s="14">
        <f>IFERROR(IF(OR(B158&amp;C158="PAU",B158&amp;C158="AIN"),VLOOKUP(B158&amp;C158&amp;G158,#REF!,8,0),VLOOKUP(B158&amp;G158,#REF!,8,0)),0)</f>
        <v>0</v>
      </c>
      <c r="Q158" s="15">
        <f t="shared" si="52"/>
        <v>0.31252137201932495</v>
      </c>
      <c r="R158" s="16" t="str">
        <f t="shared" si="58"/>
        <v>AOP</v>
      </c>
      <c r="S158" s="17">
        <f t="shared" si="59"/>
        <v>6075.4154720556771</v>
      </c>
      <c r="T158" s="18">
        <f t="shared" si="60"/>
        <v>6075.4154720556771</v>
      </c>
      <c r="U158" s="23">
        <f t="shared" si="55"/>
        <v>19440</v>
      </c>
      <c r="Y158" s="8" t="str">
        <f t="shared" si="61"/>
        <v>AINH66060KDP35UX</v>
      </c>
      <c r="Z158" s="8" t="str">
        <f>IF(Y158='Input - Bookings'!S163,"OK","Check")</f>
        <v>Check</v>
      </c>
      <c r="AA158" s="140"/>
      <c r="AB158" s="103"/>
      <c r="AC158" s="103"/>
      <c r="AD158" s="100">
        <v>13102.533850925811</v>
      </c>
      <c r="AE158" s="98"/>
      <c r="AF158" s="8" t="str">
        <f t="array" ref="AF158">_xlfn.XLOOKUP($G158,'AP Plants'!D:D,'AP Plants'!B:B)</f>
        <v>Class 5 NOT BT</v>
      </c>
      <c r="AG158" s="102"/>
      <c r="AH158" s="102">
        <f t="shared" si="65"/>
        <v>13102.533850925811</v>
      </c>
      <c r="AI158" s="44">
        <v>1.4999999999999999E-2</v>
      </c>
      <c r="AJ158" s="15">
        <f>_xlfn.XLOOKUP($AF158,Warranty!B:B,Warranty!E:E)</f>
        <v>5.0000000000000001E-3</v>
      </c>
      <c r="AK158" s="8">
        <f>IF($I158="AUD",VLOOKUP(RIGHT('Wk - Margins'!$G158,3),'AU Freight'!C:G,5,0),0)</f>
        <v>0</v>
      </c>
      <c r="AL158" s="15">
        <f t="shared" si="66"/>
        <v>0</v>
      </c>
      <c r="AM158" s="61">
        <f t="shared" si="67"/>
        <v>13364.584527944324</v>
      </c>
      <c r="AN158" s="63">
        <f t="shared" si="68"/>
        <v>0.31252137201932495</v>
      </c>
      <c r="AQ158" s="147"/>
    </row>
    <row r="159" spans="1:43">
      <c r="A159" s="10" t="str">
        <f>'Input - Bookings'!A159</f>
        <v>10-17</v>
      </c>
      <c r="B159" s="11" t="str">
        <f>'Input - Bookings'!C159</f>
        <v>A</v>
      </c>
      <c r="C159" s="11" t="str">
        <f>'Input - Bookings'!H159</f>
        <v>IN</v>
      </c>
      <c r="D159" s="24" t="str">
        <f>'Input - Bookings'!E159</f>
        <v>067</v>
      </c>
      <c r="E159" s="24" t="str">
        <f>'Input - Bookings'!G159</f>
        <v>ELECTROMECH LIFT TRUCKS</v>
      </c>
      <c r="F159" s="24" t="str">
        <f>'Input - Bookings'!I159</f>
        <v>H66065</v>
      </c>
      <c r="G159" s="24" t="str">
        <f>'Input - Bookings'!L159</f>
        <v>A7R1</v>
      </c>
      <c r="H159" s="24" t="str">
        <f>'Input - Bookings'!M159</f>
        <v>MP20XUX</v>
      </c>
      <c r="I159" s="24" t="str">
        <f>'Input - Bookings'!B159</f>
        <v>USD</v>
      </c>
      <c r="J159" s="13" t="str">
        <f>IF(I159="USD",INDEX('AP Plants'!A:A,MATCH(G159,'AP Plants'!D:D,0)),INDEX('Australia Plants'!A:A,MATCH(G159,'Australia Plants'!D:D,0)))</f>
        <v>Ruyi</v>
      </c>
      <c r="K159" s="73">
        <v>1</v>
      </c>
      <c r="L159" s="97">
        <v>6505</v>
      </c>
      <c r="M159" s="97">
        <v>3466.55</v>
      </c>
      <c r="N159" s="99">
        <v>0.14425091947262969</v>
      </c>
      <c r="O159" s="25">
        <f t="shared" si="57"/>
        <v>0.46709454265949268</v>
      </c>
      <c r="P159" s="14">
        <f>IFERROR(IF(OR(B159&amp;C159="PAU",B159&amp;C159="AIN"),VLOOKUP(B159&amp;C159&amp;G159,#REF!,8,0),VLOOKUP(B159&amp;G159,#REF!,8,0)),0)</f>
        <v>0</v>
      </c>
      <c r="Q159" s="15">
        <f t="shared" si="52"/>
        <v>0.14425091947262969</v>
      </c>
      <c r="R159" s="16" t="str">
        <f t="shared" si="58"/>
        <v>AOP</v>
      </c>
      <c r="S159" s="17">
        <f t="shared" si="59"/>
        <v>500.05302489784447</v>
      </c>
      <c r="T159" s="18">
        <f t="shared" si="60"/>
        <v>500.05302489784447</v>
      </c>
      <c r="U159" s="23">
        <f t="shared" si="55"/>
        <v>3466.55</v>
      </c>
      <c r="Y159" s="8" t="str">
        <f t="shared" si="61"/>
        <v>AINH66065MP20XUX</v>
      </c>
      <c r="Z159" s="8" t="str">
        <f>IF(Y159='Input - Bookings'!S164,"OK","Check")</f>
        <v>Check</v>
      </c>
      <c r="AA159" s="140"/>
      <c r="AB159" s="103"/>
      <c r="AC159" s="103"/>
      <c r="AD159" s="100">
        <v>2880.0941505846176</v>
      </c>
      <c r="AE159" s="98"/>
      <c r="AF159" s="8" t="str">
        <f t="array" ref="AF159">_xlfn.XLOOKUP($G159,'AP Plants'!D:D,'AP Plants'!B:B)</f>
        <v>Class 3</v>
      </c>
      <c r="AG159" s="102"/>
      <c r="AH159" s="102">
        <f t="shared" si="65"/>
        <v>2880.0941505846176</v>
      </c>
      <c r="AI159" s="44">
        <v>1.4999999999999999E-2</v>
      </c>
      <c r="AJ159" s="15">
        <f>_xlfn.XLOOKUP($AF159,Warranty!B:B,Warranty!E:E)</f>
        <v>1.4999999999999999E-2</v>
      </c>
      <c r="AK159" s="8">
        <f>IF($I159="AUD",VLOOKUP(RIGHT('Wk - Margins'!$G159,3),'AU Freight'!C:G,5,0),0)</f>
        <v>0</v>
      </c>
      <c r="AL159" s="15">
        <f t="shared" si="66"/>
        <v>0</v>
      </c>
      <c r="AM159" s="61">
        <f t="shared" ref="AM159:AM222" si="70">SUM(AG159:AH159)*(1+AI159+AJ159+AL159)+AK159</f>
        <v>2966.4969751021558</v>
      </c>
      <c r="AN159" s="63">
        <f t="shared" si="68"/>
        <v>0.14425091947262969</v>
      </c>
      <c r="AQ159" s="147"/>
    </row>
    <row r="160" spans="1:43">
      <c r="A160" s="10" t="str">
        <f>'Input - Bookings'!A160</f>
        <v>10-17</v>
      </c>
      <c r="B160" s="11" t="str">
        <f>'Input - Bookings'!C160</f>
        <v>A</v>
      </c>
      <c r="C160" s="11" t="str">
        <f>'Input - Bookings'!H160</f>
        <v>IN</v>
      </c>
      <c r="D160" s="24" t="str">
        <f>'Input - Bookings'!E160</f>
        <v>067</v>
      </c>
      <c r="E160" s="24" t="str">
        <f>'Input - Bookings'!G160</f>
        <v>ELECTROMECH LIFT TRUCKS</v>
      </c>
      <c r="F160" s="24" t="str">
        <f>'Input - Bookings'!I160</f>
        <v>H66068</v>
      </c>
      <c r="G160" s="24" t="str">
        <f>'Input - Bookings'!L160</f>
        <v>A7R1</v>
      </c>
      <c r="H160" s="24" t="str">
        <f>'Input - Bookings'!M160</f>
        <v>MP20XUX</v>
      </c>
      <c r="I160" s="24" t="str">
        <f>'Input - Bookings'!B160</f>
        <v>USD</v>
      </c>
      <c r="J160" s="13" t="str">
        <f>IF(I160="USD",INDEX('AP Plants'!A:A,MATCH(G160,'AP Plants'!D:D,0)),INDEX('Australia Plants'!A:A,MATCH(G160,'Australia Plants'!D:D,0)))</f>
        <v>Ruyi</v>
      </c>
      <c r="K160" s="73">
        <v>1</v>
      </c>
      <c r="L160" s="97">
        <v>6505</v>
      </c>
      <c r="M160" s="97">
        <v>3466.55</v>
      </c>
      <c r="N160" s="99">
        <v>0.14425091947262969</v>
      </c>
      <c r="O160" s="25">
        <f t="shared" si="57"/>
        <v>0.46709454265949268</v>
      </c>
      <c r="P160" s="14">
        <f>IFERROR(IF(OR(B160&amp;C160="PAU",B160&amp;C160="AIN"),VLOOKUP(B160&amp;C160&amp;G160,#REF!,8,0),VLOOKUP(B160&amp;G160,#REF!,8,0)),0)</f>
        <v>0</v>
      </c>
      <c r="Q160" s="15">
        <f t="shared" si="52"/>
        <v>0.14425091947262969</v>
      </c>
      <c r="R160" s="16" t="str">
        <f t="shared" si="58"/>
        <v>AOP</v>
      </c>
      <c r="S160" s="17">
        <f t="shared" si="59"/>
        <v>500.05302489784447</v>
      </c>
      <c r="T160" s="18">
        <f t="shared" si="60"/>
        <v>500.05302489784447</v>
      </c>
      <c r="U160" s="23">
        <f t="shared" si="55"/>
        <v>3466.55</v>
      </c>
      <c r="Y160" s="8" t="str">
        <f t="shared" si="61"/>
        <v>AINH66068MP20XUX</v>
      </c>
      <c r="Z160" s="8" t="str">
        <f>IF(Y160='Input - Bookings'!S165,"OK","Check")</f>
        <v>Check</v>
      </c>
      <c r="AA160" s="118"/>
      <c r="AB160" s="103"/>
      <c r="AC160" s="103"/>
      <c r="AD160" s="100">
        <v>2880.0941505846176</v>
      </c>
      <c r="AE160" s="98"/>
      <c r="AF160" s="8" t="str">
        <f t="array" ref="AF160">_xlfn.XLOOKUP($G160,'AP Plants'!D:D,'AP Plants'!B:B)</f>
        <v>Class 3</v>
      </c>
      <c r="AG160" s="102"/>
      <c r="AH160" s="102">
        <f t="shared" si="65"/>
        <v>2880.0941505846176</v>
      </c>
      <c r="AI160" s="44">
        <v>1.4999999999999999E-2</v>
      </c>
      <c r="AJ160" s="15">
        <f>_xlfn.XLOOKUP($AF160,Warranty!B:B,Warranty!E:E)</f>
        <v>1.4999999999999999E-2</v>
      </c>
      <c r="AK160" s="8">
        <f>IF($I160="AUD",VLOOKUP(RIGHT('Wk - Margins'!$G160,3),'AU Freight'!C:G,5,0),0)</f>
        <v>0</v>
      </c>
      <c r="AL160" s="15">
        <f t="shared" si="66"/>
        <v>0</v>
      </c>
      <c r="AM160" s="61">
        <f t="shared" si="70"/>
        <v>2966.4969751021558</v>
      </c>
      <c r="AN160" s="63">
        <f t="shared" si="68"/>
        <v>0.14425091947262969</v>
      </c>
      <c r="AQ160" s="147"/>
    </row>
    <row r="161" spans="1:43">
      <c r="A161" s="10" t="str">
        <f>'Input - Bookings'!A161</f>
        <v>10-17</v>
      </c>
      <c r="B161" s="11" t="str">
        <f>'Input - Bookings'!C161</f>
        <v>A</v>
      </c>
      <c r="C161" s="11" t="str">
        <f>'Input - Bookings'!H161</f>
        <v>IN</v>
      </c>
      <c r="D161" s="24" t="str">
        <f>'Input - Bookings'!E161</f>
        <v>067</v>
      </c>
      <c r="E161" s="24" t="str">
        <f>'Input - Bookings'!G161</f>
        <v>ELECTROMECH LIFT TRUCKS</v>
      </c>
      <c r="F161" s="24" t="str">
        <f>'Input - Bookings'!I161</f>
        <v>H66069</v>
      </c>
      <c r="G161" s="24" t="str">
        <f>'Input - Bookings'!L161</f>
        <v>A7R1</v>
      </c>
      <c r="H161" s="24" t="str">
        <f>'Input - Bookings'!M161</f>
        <v>MP20XUX</v>
      </c>
      <c r="I161" s="24" t="str">
        <f>'Input - Bookings'!B161</f>
        <v>USD</v>
      </c>
      <c r="J161" s="13" t="str">
        <f>IF(I161="USD",INDEX('AP Plants'!A:A,MATCH(G161,'AP Plants'!D:D,0)),INDEX('Australia Plants'!A:A,MATCH(G161,'Australia Plants'!D:D,0)))</f>
        <v>Ruyi</v>
      </c>
      <c r="K161" s="73">
        <v>1</v>
      </c>
      <c r="L161" s="97">
        <v>6505</v>
      </c>
      <c r="M161" s="97">
        <v>3466.55</v>
      </c>
      <c r="N161" s="99">
        <v>0.14425091947262969</v>
      </c>
      <c r="O161" s="25">
        <f t="shared" si="57"/>
        <v>0.46709454265949268</v>
      </c>
      <c r="P161" s="14">
        <f>IFERROR(IF(OR(B161&amp;C161="PAU",B161&amp;C161="AIN"),VLOOKUP(B161&amp;C161&amp;G161,#REF!,8,0),VLOOKUP(B161&amp;G161,#REF!,8,0)),0)</f>
        <v>0</v>
      </c>
      <c r="Q161" s="15">
        <f t="shared" si="52"/>
        <v>0.14425091947262969</v>
      </c>
      <c r="R161" s="16" t="str">
        <f t="shared" si="58"/>
        <v>AOP</v>
      </c>
      <c r="S161" s="17">
        <f t="shared" si="59"/>
        <v>500.05302489784447</v>
      </c>
      <c r="T161" s="18">
        <f t="shared" si="60"/>
        <v>500.05302489784447</v>
      </c>
      <c r="U161" s="23">
        <f t="shared" si="55"/>
        <v>3466.55</v>
      </c>
      <c r="Y161" s="8" t="str">
        <f t="shared" si="61"/>
        <v>AINH66069MP20XUX</v>
      </c>
      <c r="Z161" s="8" t="str">
        <f>IF(Y161='Input - Bookings'!S166,"OK","Check")</f>
        <v>Check</v>
      </c>
      <c r="AA161" s="118"/>
      <c r="AB161" s="103"/>
      <c r="AC161" s="103"/>
      <c r="AD161" s="100">
        <v>2880.0941505846176</v>
      </c>
      <c r="AE161" s="98"/>
      <c r="AF161" s="8" t="str">
        <f t="array" ref="AF161">_xlfn.XLOOKUP($G161,'AP Plants'!D:D,'AP Plants'!B:B)</f>
        <v>Class 3</v>
      </c>
      <c r="AG161" s="102"/>
      <c r="AH161" s="102">
        <f t="shared" si="65"/>
        <v>2880.0941505846176</v>
      </c>
      <c r="AI161" s="44">
        <v>1.4999999999999999E-2</v>
      </c>
      <c r="AJ161" s="15">
        <f>_xlfn.XLOOKUP($AF161,Warranty!B:B,Warranty!E:E)</f>
        <v>1.4999999999999999E-2</v>
      </c>
      <c r="AK161" s="8">
        <f>IF($I161="AUD",VLOOKUP(RIGHT('Wk - Margins'!$G161,3),'AU Freight'!C:G,5,0),0)</f>
        <v>0</v>
      </c>
      <c r="AL161" s="15">
        <f t="shared" si="66"/>
        <v>0</v>
      </c>
      <c r="AM161" s="61">
        <f t="shared" si="70"/>
        <v>2966.4969751021558</v>
      </c>
      <c r="AN161" s="63">
        <f t="shared" si="68"/>
        <v>0.14425091947262969</v>
      </c>
      <c r="AQ161" s="147"/>
    </row>
    <row r="162" spans="1:43">
      <c r="A162" s="10" t="str">
        <f>'Input - Bookings'!A162</f>
        <v>10-17</v>
      </c>
      <c r="B162" s="11" t="str">
        <f>'Input - Bookings'!C162</f>
        <v>A</v>
      </c>
      <c r="C162" s="11" t="str">
        <f>'Input - Bookings'!H162</f>
        <v>IN</v>
      </c>
      <c r="D162" s="24" t="str">
        <f>'Input - Bookings'!E162</f>
        <v>067</v>
      </c>
      <c r="E162" s="24" t="str">
        <f>'Input - Bookings'!G162</f>
        <v>ELECTROMECH LIFT TRUCKS</v>
      </c>
      <c r="F162" s="24" t="str">
        <f>'Input - Bookings'!I162</f>
        <v>H66066</v>
      </c>
      <c r="G162" s="24" t="str">
        <f>'Input - Bookings'!L162</f>
        <v>A7R7</v>
      </c>
      <c r="H162" s="24" t="str">
        <f>'Input - Bookings'!M162</f>
        <v>MSL15XUX</v>
      </c>
      <c r="I162" s="24" t="str">
        <f>'Input - Bookings'!B162</f>
        <v>USD</v>
      </c>
      <c r="J162" s="13" t="str">
        <f>IF(I162="USD",INDEX('AP Plants'!A:A,MATCH(G162,'AP Plants'!D:D,0)),INDEX('Australia Plants'!A:A,MATCH(G162,'Australia Plants'!D:D,0)))</f>
        <v>Ruyi</v>
      </c>
      <c r="K162" s="73">
        <v>1</v>
      </c>
      <c r="L162" s="97">
        <v>12025</v>
      </c>
      <c r="M162" s="97">
        <v>6892.55</v>
      </c>
      <c r="N162" s="99">
        <v>0.16268847243227935</v>
      </c>
      <c r="O162" s="25">
        <f t="shared" si="57"/>
        <v>0.42681496881496883</v>
      </c>
      <c r="P162" s="14">
        <f>IFERROR(IF(OR(B162&amp;C162="PAU",B162&amp;C162="AIN"),VLOOKUP(B162&amp;C162&amp;G162,#REF!,8,0),VLOOKUP(B162&amp;G162,#REF!,8,0)),0)</f>
        <v>0</v>
      </c>
      <c r="Q162" s="15">
        <f t="shared" si="52"/>
        <v>0.16268847243227935</v>
      </c>
      <c r="R162" s="16" t="str">
        <f t="shared" si="58"/>
        <v>AOP</v>
      </c>
      <c r="S162" s="17">
        <f t="shared" si="59"/>
        <v>1121.3384306631071</v>
      </c>
      <c r="T162" s="18">
        <f t="shared" si="60"/>
        <v>1121.3384306631071</v>
      </c>
      <c r="U162" s="23">
        <f t="shared" si="55"/>
        <v>6892.55</v>
      </c>
      <c r="Y162" s="8" t="str">
        <f t="shared" si="61"/>
        <v>AINH66066MSL15XUX</v>
      </c>
      <c r="Z162" s="8" t="str">
        <f>IF(Y162='Input - Bookings'!S167,"OK","Check")</f>
        <v>Check</v>
      </c>
      <c r="AA162" s="118"/>
      <c r="AB162" s="103"/>
      <c r="AC162" s="103"/>
      <c r="AD162" s="100">
        <v>5603.1180284824213</v>
      </c>
      <c r="AE162" s="100"/>
      <c r="AF162" s="8" t="str">
        <f t="array" ref="AF162">_xlfn.XLOOKUP($G162,'AP Plants'!D:D,'AP Plants'!B:B)</f>
        <v>Class 3</v>
      </c>
      <c r="AG162" s="102"/>
      <c r="AH162" s="102">
        <f t="shared" si="65"/>
        <v>5603.1180284824213</v>
      </c>
      <c r="AI162" s="44">
        <v>1.4999999999999999E-2</v>
      </c>
      <c r="AJ162" s="15">
        <f>_xlfn.XLOOKUP($AF162,Warranty!B:B,Warranty!E:E)</f>
        <v>1.4999999999999999E-2</v>
      </c>
      <c r="AK162" s="8">
        <f>IF($I162="AUD",VLOOKUP(RIGHT('Wk - Margins'!$G162,3),'AU Freight'!C:G,5,0),0)</f>
        <v>0</v>
      </c>
      <c r="AL162" s="15">
        <f t="shared" si="66"/>
        <v>0</v>
      </c>
      <c r="AM162" s="61">
        <f t="shared" si="70"/>
        <v>5771.2115693368933</v>
      </c>
      <c r="AN162" s="63">
        <f t="shared" si="68"/>
        <v>0.16268847243227935</v>
      </c>
      <c r="AQ162" s="147"/>
    </row>
    <row r="163" spans="1:43">
      <c r="A163" s="10" t="str">
        <f>'Input - Bookings'!A163</f>
        <v>10-17</v>
      </c>
      <c r="B163" s="11" t="str">
        <f>'Input - Bookings'!C163</f>
        <v>A</v>
      </c>
      <c r="C163" s="11" t="str">
        <f>'Input - Bookings'!H163</f>
        <v>IN</v>
      </c>
      <c r="D163" s="24" t="str">
        <f>'Input - Bookings'!E163</f>
        <v>067</v>
      </c>
      <c r="E163" s="24" t="str">
        <f>'Input - Bookings'!G163</f>
        <v>ELECTROMECH LIFT TRUCKS</v>
      </c>
      <c r="F163" s="24" t="str">
        <f>'Input - Bookings'!I163</f>
        <v>H66070</v>
      </c>
      <c r="G163" s="24" t="str">
        <f>'Input - Bookings'!L163</f>
        <v>A7R7</v>
      </c>
      <c r="H163" s="24" t="str">
        <f>'Input - Bookings'!M163</f>
        <v>MSL15XUX</v>
      </c>
      <c r="I163" s="24" t="str">
        <f>'Input - Bookings'!B163</f>
        <v>USD</v>
      </c>
      <c r="J163" s="13" t="str">
        <f>IF(I163="USD",INDEX('AP Plants'!A:A,MATCH(G163,'AP Plants'!D:D,0)),INDEX('Australia Plants'!A:A,MATCH(G163,'Australia Plants'!D:D,0)))</f>
        <v>Ruyi</v>
      </c>
      <c r="K163" s="73">
        <v>1</v>
      </c>
      <c r="L163" s="97">
        <v>12025</v>
      </c>
      <c r="M163" s="97">
        <v>6892.55</v>
      </c>
      <c r="N163" s="99">
        <v>0.16268847243227935</v>
      </c>
      <c r="O163" s="25">
        <f t="shared" si="57"/>
        <v>0.42681496881496883</v>
      </c>
      <c r="P163" s="14">
        <f>IFERROR(IF(OR(B163&amp;C163="PAU",B163&amp;C163="AIN"),VLOOKUP(B163&amp;C163&amp;G163,#REF!,8,0),VLOOKUP(B163&amp;G163,#REF!,8,0)),0)</f>
        <v>0</v>
      </c>
      <c r="Q163" s="15">
        <f t="shared" si="52"/>
        <v>0.16268847243227935</v>
      </c>
      <c r="R163" s="16" t="str">
        <f t="shared" si="58"/>
        <v>AOP</v>
      </c>
      <c r="S163" s="17">
        <f t="shared" si="59"/>
        <v>1121.3384306631071</v>
      </c>
      <c r="T163" s="18">
        <f t="shared" si="60"/>
        <v>1121.3384306631071</v>
      </c>
      <c r="U163" s="23">
        <f t="shared" si="55"/>
        <v>6892.55</v>
      </c>
      <c r="Y163" s="8" t="str">
        <f t="shared" si="61"/>
        <v>AINH66070MSL15XUX</v>
      </c>
      <c r="Z163" s="8" t="str">
        <f>IF(Y163='Input - Bookings'!S168,"OK","Check")</f>
        <v>Check</v>
      </c>
      <c r="AA163" s="118"/>
      <c r="AB163" s="103"/>
      <c r="AC163" s="103"/>
      <c r="AD163" s="100">
        <v>5603.1180284824213</v>
      </c>
      <c r="AE163" s="100"/>
      <c r="AF163" s="8" t="str">
        <f t="array" ref="AF163">_xlfn.XLOOKUP($G163,'AP Plants'!D:D,'AP Plants'!B:B)</f>
        <v>Class 3</v>
      </c>
      <c r="AG163" s="102"/>
      <c r="AH163" s="102">
        <f t="shared" si="65"/>
        <v>5603.1180284824213</v>
      </c>
      <c r="AI163" s="44">
        <v>1.4999999999999999E-2</v>
      </c>
      <c r="AJ163" s="15">
        <f>_xlfn.XLOOKUP($AF163,Warranty!B:B,Warranty!E:E)</f>
        <v>1.4999999999999999E-2</v>
      </c>
      <c r="AK163" s="8">
        <f>IF($I163="AUD",VLOOKUP(RIGHT('Wk - Margins'!$G163,3),'AU Freight'!C:G,5,0),0)</f>
        <v>0</v>
      </c>
      <c r="AL163" s="15">
        <f t="shared" si="66"/>
        <v>0</v>
      </c>
      <c r="AM163" s="61">
        <f t="shared" si="70"/>
        <v>5771.2115693368933</v>
      </c>
      <c r="AN163" s="63">
        <f t="shared" si="68"/>
        <v>0.16268847243227935</v>
      </c>
      <c r="AQ163" s="147"/>
    </row>
    <row r="164" spans="1:43">
      <c r="A164" s="10" t="str">
        <f>'Input - Bookings'!A164</f>
        <v>10-17</v>
      </c>
      <c r="B164" s="11" t="str">
        <f>'Input - Bookings'!C164</f>
        <v>A</v>
      </c>
      <c r="C164" s="11" t="str">
        <f>'Input - Bookings'!H164</f>
        <v>IN</v>
      </c>
      <c r="D164" s="24" t="str">
        <f>'Input - Bookings'!E164</f>
        <v>067</v>
      </c>
      <c r="E164" s="24" t="str">
        <f>'Input - Bookings'!G164</f>
        <v>ELECTROMECH LIFT TRUCKS</v>
      </c>
      <c r="F164" s="24" t="str">
        <f>'Input - Bookings'!I164</f>
        <v>H66067</v>
      </c>
      <c r="G164" s="24" t="str">
        <f>'Input - Bookings'!L164</f>
        <v>C900</v>
      </c>
      <c r="H164" s="24" t="str">
        <f>'Input - Bookings'!M164</f>
        <v>FBR15SZ</v>
      </c>
      <c r="I164" s="24" t="str">
        <f>'Input - Bookings'!B164</f>
        <v>USD</v>
      </c>
      <c r="J164" s="13" t="str">
        <f>IF(I164="USD",INDEX('AP Plants'!A:A,MATCH(G164,'AP Plants'!D:D,0)),INDEX('Australia Plants'!A:A,MATCH(G164,'Australia Plants'!D:D,0)))</f>
        <v>SN</v>
      </c>
      <c r="K164" s="73">
        <v>1</v>
      </c>
      <c r="L164" s="97">
        <v>26995</v>
      </c>
      <c r="M164" s="97">
        <v>16336.65</v>
      </c>
      <c r="N164" s="99">
        <v>0.1876731556525808</v>
      </c>
      <c r="O164" s="25">
        <f t="shared" si="57"/>
        <v>0.39482681978144107</v>
      </c>
      <c r="P164" s="14">
        <f>IFERROR(IF(OR(B164&amp;C164="PAU",B164&amp;C164="AIN"),VLOOKUP(B164&amp;C164&amp;G164,#REF!,8,0),VLOOKUP(B164&amp;G164,#REF!,8,0)),0)</f>
        <v>0</v>
      </c>
      <c r="Q164" s="15">
        <f t="shared" si="52"/>
        <v>0.1876731556525808</v>
      </c>
      <c r="R164" s="16" t="str">
        <f t="shared" si="58"/>
        <v>AOP</v>
      </c>
      <c r="S164" s="17">
        <f t="shared" si="59"/>
        <v>3065.9506582917343</v>
      </c>
      <c r="T164" s="18">
        <f t="shared" si="60"/>
        <v>3065.9506582917343</v>
      </c>
      <c r="U164" s="23">
        <f t="shared" si="55"/>
        <v>16336.65</v>
      </c>
      <c r="Y164" s="8" t="str">
        <f t="shared" si="61"/>
        <v>AINH66067FBR15SZ</v>
      </c>
      <c r="Z164" s="8" t="str">
        <f>IF(Y164='Input - Bookings'!S169,"OK","Check")</f>
        <v>Check</v>
      </c>
      <c r="AA164" s="139" t="s">
        <v>1269</v>
      </c>
      <c r="AB164" s="103"/>
      <c r="AC164" s="103"/>
      <c r="AD164" s="100">
        <v>12884.174118163366</v>
      </c>
      <c r="AE164" s="100"/>
      <c r="AF164" s="8" t="str">
        <f t="array" ref="AF164">_xlfn.XLOOKUP($G164,'AP Plants'!D:D,'AP Plants'!B:B)</f>
        <v>Class 2</v>
      </c>
      <c r="AG164" s="102"/>
      <c r="AH164" s="102">
        <f t="shared" si="65"/>
        <v>12884.174118163366</v>
      </c>
      <c r="AI164" s="44">
        <v>1.4999999999999999E-2</v>
      </c>
      <c r="AJ164" s="15">
        <f>_xlfn.XLOOKUP($AF164,Warranty!B:B,Warranty!E:E)</f>
        <v>1.4999999999999999E-2</v>
      </c>
      <c r="AK164" s="8">
        <f>IF($I164="AUD",VLOOKUP(RIGHT('Wk - Margins'!$G164,3),'AU Freight'!C:G,5,0),0)</f>
        <v>0</v>
      </c>
      <c r="AL164" s="15">
        <f t="shared" si="66"/>
        <v>0</v>
      </c>
      <c r="AM164" s="61">
        <f t="shared" si="70"/>
        <v>13270.699341708265</v>
      </c>
      <c r="AN164" s="63">
        <f t="shared" si="68"/>
        <v>0.1876731556525808</v>
      </c>
      <c r="AQ164" s="147"/>
    </row>
    <row r="165" spans="1:43" ht="14.45" customHeight="1">
      <c r="A165" s="10" t="str">
        <f>'Input - Bookings'!A165</f>
        <v>10-17</v>
      </c>
      <c r="B165" s="11" t="str">
        <f>'Input - Bookings'!C165</f>
        <v>A</v>
      </c>
      <c r="C165" s="11" t="str">
        <f>'Input - Bookings'!H165</f>
        <v>VN</v>
      </c>
      <c r="D165" s="24" t="str">
        <f>'Input - Bookings'!E165</f>
        <v>067</v>
      </c>
      <c r="E165" s="24" t="str">
        <f>'Input - Bookings'!G165</f>
        <v>KY LUC CO., LTD</v>
      </c>
      <c r="F165" s="146" t="str">
        <f>'Input - Bookings'!I165</f>
        <v>H66026</v>
      </c>
      <c r="G165" s="24" t="str">
        <f>'Input - Bookings'!L165</f>
        <v>A3D4</v>
      </c>
      <c r="H165" s="24" t="str">
        <f>'Input - Bookings'!M165</f>
        <v>MPC15</v>
      </c>
      <c r="I165" s="24" t="str">
        <f>'Input - Bookings'!B165</f>
        <v>USD</v>
      </c>
      <c r="J165" s="13" t="str">
        <f>IF(I165="USD",INDEX('AP Plants'!A:A,MATCH(G165,'AP Plants'!D:D,0)),INDEX('Australia Plants'!A:A,MATCH(G165,'Australia Plants'!D:D,0)))</f>
        <v>Staxx</v>
      </c>
      <c r="K165" s="73">
        <v>1</v>
      </c>
      <c r="L165" s="97">
        <v>1455</v>
      </c>
      <c r="M165" s="97">
        <v>1006.5</v>
      </c>
      <c r="N165" s="99">
        <v>0.27113208406198797</v>
      </c>
      <c r="O165" s="25">
        <f t="shared" si="57"/>
        <v>0.30824742268041239</v>
      </c>
      <c r="P165" s="14">
        <f>IFERROR(IF(OR(B165&amp;C165="PAU",B165&amp;C165="AIN"),VLOOKUP(B165&amp;C165&amp;G165,#REF!,8,0),VLOOKUP(B165&amp;G165,#REF!,8,0)),0)</f>
        <v>0</v>
      </c>
      <c r="Q165" s="15">
        <f t="shared" si="52"/>
        <v>0.27113208406198797</v>
      </c>
      <c r="R165" s="16" t="str">
        <f t="shared" si="58"/>
        <v>AOP</v>
      </c>
      <c r="S165" s="17">
        <f t="shared" si="59"/>
        <v>272.89444260839088</v>
      </c>
      <c r="T165" s="18">
        <f t="shared" si="60"/>
        <v>272.89444260839088</v>
      </c>
      <c r="U165" s="23">
        <f t="shared" si="55"/>
        <v>1006.5</v>
      </c>
      <c r="Y165" s="8" t="str">
        <f t="shared" si="61"/>
        <v>AVNH66026MPC15</v>
      </c>
      <c r="Z165" s="8" t="str">
        <f>IF(Y165='Input - Bookings'!S170,"OK","Check")</f>
        <v>Check</v>
      </c>
      <c r="AA165" s="118"/>
      <c r="AB165" s="103"/>
      <c r="AC165" s="103"/>
      <c r="AD165" s="100">
        <f t="shared" ref="AD165:AD174" si="71">702.238405234572+10</f>
        <v>712.23840523457204</v>
      </c>
      <c r="AE165" s="110"/>
      <c r="AF165" s="8" t="str">
        <f t="array" ref="AF165">_xlfn.XLOOKUP($G165,'AP Plants'!D:D,'AP Plants'!B:B)</f>
        <v>Class 3</v>
      </c>
      <c r="AG165" s="102"/>
      <c r="AH165" s="102">
        <f t="shared" si="65"/>
        <v>712.23840523457204</v>
      </c>
      <c r="AI165" s="44">
        <v>1.4999999999999999E-2</v>
      </c>
      <c r="AJ165" s="15">
        <f>_xlfn.XLOOKUP($AF165,Warranty!B:B,Warranty!E:E)</f>
        <v>1.4999999999999999E-2</v>
      </c>
      <c r="AK165" s="8">
        <f>IF($I165="AUD",VLOOKUP(RIGHT('Wk - Margins'!$G165,3),'AU Freight'!C:G,5,0),0)</f>
        <v>0</v>
      </c>
      <c r="AL165" s="15">
        <f t="shared" si="66"/>
        <v>0</v>
      </c>
      <c r="AM165" s="61">
        <f t="shared" si="70"/>
        <v>733.60555739160907</v>
      </c>
      <c r="AN165" s="63">
        <f t="shared" si="68"/>
        <v>0.27113208406198797</v>
      </c>
      <c r="AQ165" s="147"/>
    </row>
    <row r="166" spans="1:43">
      <c r="A166" s="10" t="str">
        <f>'Input - Bookings'!A166</f>
        <v>10-17</v>
      </c>
      <c r="B166" s="11" t="str">
        <f>'Input - Bookings'!C166</f>
        <v>A</v>
      </c>
      <c r="C166" s="11" t="str">
        <f>'Input - Bookings'!H166</f>
        <v>VN</v>
      </c>
      <c r="D166" s="24" t="str">
        <f>'Input - Bookings'!E166</f>
        <v>067</v>
      </c>
      <c r="E166" s="24" t="str">
        <f>'Input - Bookings'!G166</f>
        <v>KY LUC CO., LTD</v>
      </c>
      <c r="F166" s="146" t="str">
        <f>'Input - Bookings'!I166</f>
        <v>H66027</v>
      </c>
      <c r="G166" s="24" t="str">
        <f>'Input - Bookings'!L166</f>
        <v>A3D4</v>
      </c>
      <c r="H166" s="24" t="str">
        <f>'Input - Bookings'!M166</f>
        <v>MPC15</v>
      </c>
      <c r="I166" s="24" t="str">
        <f>'Input - Bookings'!B166</f>
        <v>USD</v>
      </c>
      <c r="J166" s="13" t="str">
        <f>IF(I166="USD",INDEX('AP Plants'!A:A,MATCH(G166,'AP Plants'!D:D,0)),INDEX('Australia Plants'!A:A,MATCH(G166,'Australia Plants'!D:D,0)))</f>
        <v>Staxx</v>
      </c>
      <c r="K166" s="73">
        <v>1</v>
      </c>
      <c r="L166" s="97">
        <v>1455</v>
      </c>
      <c r="M166" s="97">
        <v>1006.5</v>
      </c>
      <c r="N166" s="99">
        <v>0.27113208406198797</v>
      </c>
      <c r="O166" s="25">
        <f t="shared" si="57"/>
        <v>0.30824742268041239</v>
      </c>
      <c r="P166" s="14">
        <f>IFERROR(IF(OR(B166&amp;C166="PAU",B166&amp;C166="AIN"),VLOOKUP(B166&amp;C166&amp;G166,#REF!,8,0),VLOOKUP(B166&amp;G166,#REF!,8,0)),0)</f>
        <v>0</v>
      </c>
      <c r="Q166" s="15">
        <f t="shared" si="52"/>
        <v>0.27113208406198797</v>
      </c>
      <c r="R166" s="16" t="str">
        <f t="shared" si="58"/>
        <v>AOP</v>
      </c>
      <c r="S166" s="17">
        <f t="shared" si="59"/>
        <v>272.89444260839088</v>
      </c>
      <c r="T166" s="18">
        <f t="shared" si="60"/>
        <v>272.89444260839088</v>
      </c>
      <c r="U166" s="23">
        <f t="shared" si="55"/>
        <v>1006.5</v>
      </c>
      <c r="Y166" s="8" t="str">
        <f t="shared" si="61"/>
        <v>AVNH66027MPC15</v>
      </c>
      <c r="Z166" s="8" t="str">
        <f>IF(Y166='Input - Bookings'!S171,"OK","Check")</f>
        <v>Check</v>
      </c>
      <c r="AA166" s="139"/>
      <c r="AB166" s="103"/>
      <c r="AC166" s="103"/>
      <c r="AD166" s="100">
        <f t="shared" si="71"/>
        <v>712.23840523457204</v>
      </c>
      <c r="AE166" s="100"/>
      <c r="AF166" s="8" t="str">
        <f t="array" ref="AF166">_xlfn.XLOOKUP($G166,'AP Plants'!D:D,'AP Plants'!B:B)</f>
        <v>Class 3</v>
      </c>
      <c r="AG166" s="102"/>
      <c r="AH166" s="102">
        <f t="shared" si="65"/>
        <v>712.23840523457204</v>
      </c>
      <c r="AI166" s="44">
        <v>1.4999999999999999E-2</v>
      </c>
      <c r="AJ166" s="15">
        <f>_xlfn.XLOOKUP($AF166,Warranty!B:B,Warranty!E:E)</f>
        <v>1.4999999999999999E-2</v>
      </c>
      <c r="AK166" s="8">
        <f>IF($I166="AUD",VLOOKUP(RIGHT('Wk - Margins'!$G166,3),'AU Freight'!C:G,5,0),0)</f>
        <v>0</v>
      </c>
      <c r="AL166" s="15">
        <f t="shared" si="66"/>
        <v>0</v>
      </c>
      <c r="AM166" s="61">
        <f t="shared" si="70"/>
        <v>733.60555739160907</v>
      </c>
      <c r="AN166" s="63">
        <f t="shared" si="68"/>
        <v>0.27113208406198797</v>
      </c>
      <c r="AQ166" s="147"/>
    </row>
    <row r="167" spans="1:43" ht="14.45" customHeight="1">
      <c r="A167" s="10" t="str">
        <f>'Input - Bookings'!A167</f>
        <v>10-17</v>
      </c>
      <c r="B167" s="11" t="str">
        <f>'Input - Bookings'!C167</f>
        <v>A</v>
      </c>
      <c r="C167" s="11" t="str">
        <f>'Input - Bookings'!H167</f>
        <v>VN</v>
      </c>
      <c r="D167" s="24" t="str">
        <f>'Input - Bookings'!E167</f>
        <v>067</v>
      </c>
      <c r="E167" s="24" t="str">
        <f>'Input - Bookings'!G167</f>
        <v>KY LUC CO., LTD</v>
      </c>
      <c r="F167" s="146" t="str">
        <f>'Input - Bookings'!I167</f>
        <v>H66028</v>
      </c>
      <c r="G167" s="24" t="str">
        <f>'Input - Bookings'!L167</f>
        <v>A3D4</v>
      </c>
      <c r="H167" s="24" t="str">
        <f>'Input - Bookings'!M167</f>
        <v>MPC15</v>
      </c>
      <c r="I167" s="24" t="str">
        <f>'Input - Bookings'!B167</f>
        <v>USD</v>
      </c>
      <c r="J167" s="13" t="str">
        <f>IF(I167="USD",INDEX('AP Plants'!A:A,MATCH(G167,'AP Plants'!D:D,0)),INDEX('Australia Plants'!A:A,MATCH(G167,'Australia Plants'!D:D,0)))</f>
        <v>Staxx</v>
      </c>
      <c r="K167" s="73">
        <v>1</v>
      </c>
      <c r="L167" s="97">
        <v>1455</v>
      </c>
      <c r="M167" s="97">
        <v>1006.5</v>
      </c>
      <c r="N167" s="99">
        <v>0.27113208406198797</v>
      </c>
      <c r="O167" s="25">
        <f t="shared" si="57"/>
        <v>0.30824742268041239</v>
      </c>
      <c r="P167" s="14">
        <f>IFERROR(IF(OR(B167&amp;C167="PAU",B167&amp;C167="AIN"),VLOOKUP(B167&amp;C167&amp;G167,#REF!,8,0),VLOOKUP(B167&amp;G167,#REF!,8,0)),0)</f>
        <v>0</v>
      </c>
      <c r="Q167" s="15">
        <f t="shared" si="52"/>
        <v>0.27113208406198797</v>
      </c>
      <c r="R167" s="16" t="str">
        <f t="shared" si="58"/>
        <v>AOP</v>
      </c>
      <c r="S167" s="17">
        <f t="shared" si="59"/>
        <v>272.89444260839088</v>
      </c>
      <c r="T167" s="18">
        <f t="shared" si="60"/>
        <v>272.89444260839088</v>
      </c>
      <c r="U167" s="23">
        <f t="shared" si="55"/>
        <v>1006.5</v>
      </c>
      <c r="Y167" s="8" t="str">
        <f t="shared" si="61"/>
        <v>AVNH66028MPC15</v>
      </c>
      <c r="Z167" s="8" t="str">
        <f>IF(Y167='Input - Bookings'!S175,"OK","Check")</f>
        <v>Check</v>
      </c>
      <c r="AA167" s="139"/>
      <c r="AB167" s="103"/>
      <c r="AC167" s="103"/>
      <c r="AD167" s="100">
        <f t="shared" si="71"/>
        <v>712.23840523457204</v>
      </c>
      <c r="AE167" s="100"/>
      <c r="AF167" s="8" t="str">
        <f t="array" ref="AF167">_xlfn.XLOOKUP($G167,'AP Plants'!D:D,'AP Plants'!B:B)</f>
        <v>Class 3</v>
      </c>
      <c r="AG167" s="102"/>
      <c r="AH167" s="102">
        <f t="shared" si="65"/>
        <v>712.23840523457204</v>
      </c>
      <c r="AI167" s="44">
        <v>1.4999999999999999E-2</v>
      </c>
      <c r="AJ167" s="15">
        <f>_xlfn.XLOOKUP($AF167,Warranty!B:B,Warranty!E:E)</f>
        <v>1.4999999999999999E-2</v>
      </c>
      <c r="AK167" s="8">
        <f>IF($I167="AUD",VLOOKUP(RIGHT('Wk - Margins'!$G167,3),'AU Freight'!C:G,5,0),0)</f>
        <v>0</v>
      </c>
      <c r="AL167" s="15">
        <f t="shared" si="66"/>
        <v>0</v>
      </c>
      <c r="AM167" s="61">
        <f t="shared" si="70"/>
        <v>733.60555739160907</v>
      </c>
      <c r="AN167" s="63">
        <f t="shared" si="68"/>
        <v>0.27113208406198797</v>
      </c>
      <c r="AQ167" s="147"/>
    </row>
    <row r="168" spans="1:43" ht="14.45" customHeight="1">
      <c r="A168" s="10" t="str">
        <f>'Input - Bookings'!A168</f>
        <v>10-17</v>
      </c>
      <c r="B168" s="11" t="str">
        <f>'Input - Bookings'!C168</f>
        <v>A</v>
      </c>
      <c r="C168" s="11" t="str">
        <f>'Input - Bookings'!H168</f>
        <v>VN</v>
      </c>
      <c r="D168" s="24" t="str">
        <f>'Input - Bookings'!E168</f>
        <v>067</v>
      </c>
      <c r="E168" s="24" t="str">
        <f>'Input - Bookings'!G168</f>
        <v>KY LUC CO., LTD</v>
      </c>
      <c r="F168" s="146" t="str">
        <f>'Input - Bookings'!I168</f>
        <v>H66029</v>
      </c>
      <c r="G168" s="24" t="str">
        <f>'Input - Bookings'!L168</f>
        <v>A3D4</v>
      </c>
      <c r="H168" s="24" t="str">
        <f>'Input - Bookings'!M168</f>
        <v>MPC15</v>
      </c>
      <c r="I168" s="24" t="str">
        <f>'Input - Bookings'!B168</f>
        <v>USD</v>
      </c>
      <c r="J168" s="13" t="str">
        <f>IF(I168="USD",INDEX('AP Plants'!A:A,MATCH(G168,'AP Plants'!D:D,0)),INDEX('Australia Plants'!A:A,MATCH(G168,'Australia Plants'!D:D,0)))</f>
        <v>Staxx</v>
      </c>
      <c r="K168" s="73">
        <v>1</v>
      </c>
      <c r="L168" s="97">
        <v>1455</v>
      </c>
      <c r="M168" s="97">
        <v>1006.5</v>
      </c>
      <c r="N168" s="99">
        <v>0.27113208406198797</v>
      </c>
      <c r="O168" s="25">
        <f t="shared" si="57"/>
        <v>0.30824742268041239</v>
      </c>
      <c r="P168" s="14">
        <f>IFERROR(IF(OR(B168&amp;C168="PAU",B168&amp;C168="AIN"),VLOOKUP(B168&amp;C168&amp;G168,#REF!,8,0),VLOOKUP(B168&amp;G168,#REF!,8,0)),0)</f>
        <v>0</v>
      </c>
      <c r="Q168" s="15">
        <f t="shared" si="52"/>
        <v>0.27113208406198797</v>
      </c>
      <c r="R168" s="16" t="str">
        <f t="shared" si="58"/>
        <v>AOP</v>
      </c>
      <c r="S168" s="17">
        <f t="shared" si="59"/>
        <v>272.89444260839088</v>
      </c>
      <c r="T168" s="18">
        <f t="shared" si="60"/>
        <v>272.89444260839088</v>
      </c>
      <c r="U168" s="23">
        <f t="shared" si="55"/>
        <v>1006.5</v>
      </c>
      <c r="Y168" s="8" t="str">
        <f t="shared" si="61"/>
        <v>AVNH66029MPC15</v>
      </c>
      <c r="Z168" s="8" t="str">
        <f>IF(Y168='Input - Bookings'!S147,"OK","Check")</f>
        <v>Check</v>
      </c>
      <c r="AA168" s="118"/>
      <c r="AB168" s="103"/>
      <c r="AC168" s="103"/>
      <c r="AD168" s="100">
        <f t="shared" si="71"/>
        <v>712.23840523457204</v>
      </c>
      <c r="AE168" s="100"/>
      <c r="AF168" s="8" t="str">
        <f t="array" ref="AF168">_xlfn.XLOOKUP($G168,'AP Plants'!D:D,'AP Plants'!B:B)</f>
        <v>Class 3</v>
      </c>
      <c r="AG168" s="102"/>
      <c r="AH168" s="102">
        <f t="shared" si="65"/>
        <v>712.23840523457204</v>
      </c>
      <c r="AI168" s="44">
        <v>1.4999999999999999E-2</v>
      </c>
      <c r="AJ168" s="15">
        <f>_xlfn.XLOOKUP($AF168,Warranty!B:B,Warranty!E:E)</f>
        <v>1.4999999999999999E-2</v>
      </c>
      <c r="AK168" s="8">
        <f>IF($I168="AUD",VLOOKUP(RIGHT('Wk - Margins'!$G168,3),'AU Freight'!C:G,5,0),0)</f>
        <v>0</v>
      </c>
      <c r="AL168" s="15">
        <f t="shared" si="66"/>
        <v>0</v>
      </c>
      <c r="AM168" s="61">
        <f t="shared" si="70"/>
        <v>733.60555739160907</v>
      </c>
      <c r="AN168" s="63">
        <f t="shared" si="68"/>
        <v>0.27113208406198797</v>
      </c>
      <c r="AQ168" s="147"/>
    </row>
    <row r="169" spans="1:43" ht="14.45" customHeight="1">
      <c r="A169" s="10" t="str">
        <f>'Input - Bookings'!A169</f>
        <v>10-17</v>
      </c>
      <c r="B169" s="11" t="str">
        <f>'Input - Bookings'!C169</f>
        <v>A</v>
      </c>
      <c r="C169" s="11" t="str">
        <f>'Input - Bookings'!H169</f>
        <v>VN</v>
      </c>
      <c r="D169" s="24" t="str">
        <f>'Input - Bookings'!E169</f>
        <v>067</v>
      </c>
      <c r="E169" s="24" t="str">
        <f>'Input - Bookings'!G169</f>
        <v>KY LUC CO., LTD</v>
      </c>
      <c r="F169" s="146" t="str">
        <f>'Input - Bookings'!I169</f>
        <v>H66030</v>
      </c>
      <c r="G169" s="24" t="str">
        <f>'Input - Bookings'!L169</f>
        <v>A3D4</v>
      </c>
      <c r="H169" s="24" t="str">
        <f>'Input - Bookings'!M169</f>
        <v>MPC15</v>
      </c>
      <c r="I169" s="24" t="str">
        <f>'Input - Bookings'!B169</f>
        <v>USD</v>
      </c>
      <c r="J169" s="13" t="str">
        <f>IF(I169="USD",INDEX('AP Plants'!A:A,MATCH(G169,'AP Plants'!D:D,0)),INDEX('Australia Plants'!A:A,MATCH(G169,'Australia Plants'!D:D,0)))</f>
        <v>Staxx</v>
      </c>
      <c r="K169" s="73">
        <v>1</v>
      </c>
      <c r="L169" s="97">
        <v>1455</v>
      </c>
      <c r="M169" s="97">
        <v>1006.5</v>
      </c>
      <c r="N169" s="99">
        <v>0.27113208406198797</v>
      </c>
      <c r="O169" s="25">
        <f t="shared" si="57"/>
        <v>0.30824742268041239</v>
      </c>
      <c r="P169" s="14">
        <f>IFERROR(IF(OR(B169&amp;C169="PAU",B169&amp;C169="AIN"),VLOOKUP(B169&amp;C169&amp;G169,#REF!,8,0),VLOOKUP(B169&amp;G169,#REF!,8,0)),0)</f>
        <v>0</v>
      </c>
      <c r="Q169" s="15">
        <f t="shared" si="52"/>
        <v>0.27113208406198797</v>
      </c>
      <c r="R169" s="16" t="str">
        <f t="shared" si="58"/>
        <v>AOP</v>
      </c>
      <c r="S169" s="17">
        <f t="shared" si="59"/>
        <v>272.89444260839088</v>
      </c>
      <c r="T169" s="18">
        <f t="shared" si="60"/>
        <v>272.89444260839088</v>
      </c>
      <c r="U169" s="23">
        <f t="shared" si="55"/>
        <v>1006.5</v>
      </c>
      <c r="Y169" s="8" t="str">
        <f t="shared" si="61"/>
        <v>AVNH66030MPC15</v>
      </c>
      <c r="Z169" s="8" t="str">
        <f>IF(Y169='Input - Bookings'!S148,"OK","Check")</f>
        <v>Check</v>
      </c>
      <c r="AA169" s="118"/>
      <c r="AB169" s="103"/>
      <c r="AC169" s="103"/>
      <c r="AD169" s="100">
        <f t="shared" si="71"/>
        <v>712.23840523457204</v>
      </c>
      <c r="AE169" s="100"/>
      <c r="AF169" s="8" t="str">
        <f t="array" ref="AF169">_xlfn.XLOOKUP($G169,'AP Plants'!D:D,'AP Plants'!B:B)</f>
        <v>Class 3</v>
      </c>
      <c r="AG169" s="102"/>
      <c r="AH169" s="102">
        <f t="shared" si="65"/>
        <v>712.23840523457204</v>
      </c>
      <c r="AI169" s="44">
        <v>1.4999999999999999E-2</v>
      </c>
      <c r="AJ169" s="15">
        <f>_xlfn.XLOOKUP($AF169,Warranty!B:B,Warranty!E:E)</f>
        <v>1.4999999999999999E-2</v>
      </c>
      <c r="AK169" s="8">
        <f>IF($I169="AUD",VLOOKUP(RIGHT('Wk - Margins'!$G169,3),'AU Freight'!C:G,5,0),0)</f>
        <v>0</v>
      </c>
      <c r="AL169" s="15">
        <f t="shared" si="66"/>
        <v>0</v>
      </c>
      <c r="AM169" s="61">
        <f t="shared" si="70"/>
        <v>733.60555739160907</v>
      </c>
      <c r="AN169" s="63">
        <f t="shared" si="68"/>
        <v>0.27113208406198797</v>
      </c>
      <c r="AQ169" s="147"/>
    </row>
    <row r="170" spans="1:43" ht="14.45" customHeight="1">
      <c r="A170" s="10" t="str">
        <f>'Input - Bookings'!A170</f>
        <v>10-17</v>
      </c>
      <c r="B170" s="11" t="str">
        <f>'Input - Bookings'!C170</f>
        <v>A</v>
      </c>
      <c r="C170" s="11" t="str">
        <f>'Input - Bookings'!H170</f>
        <v>VN</v>
      </c>
      <c r="D170" s="24" t="str">
        <f>'Input - Bookings'!E170</f>
        <v>067</v>
      </c>
      <c r="E170" s="24" t="str">
        <f>'Input - Bookings'!G170</f>
        <v>KY LUC CO., LTD</v>
      </c>
      <c r="F170" s="146" t="str">
        <f>'Input - Bookings'!I170</f>
        <v>H66031</v>
      </c>
      <c r="G170" s="24" t="str">
        <f>'Input - Bookings'!L170</f>
        <v>A3D4</v>
      </c>
      <c r="H170" s="24" t="str">
        <f>'Input - Bookings'!M170</f>
        <v>MPC15</v>
      </c>
      <c r="I170" s="24" t="str">
        <f>'Input - Bookings'!B170</f>
        <v>USD</v>
      </c>
      <c r="J170" s="13" t="str">
        <f>IF(I170="USD",INDEX('AP Plants'!A:A,MATCH(G170,'AP Plants'!D:D,0)),INDEX('Australia Plants'!A:A,MATCH(G170,'Australia Plants'!D:D,0)))</f>
        <v>Staxx</v>
      </c>
      <c r="K170" s="73">
        <v>1</v>
      </c>
      <c r="L170" s="97">
        <v>1455</v>
      </c>
      <c r="M170" s="97">
        <v>1006.5</v>
      </c>
      <c r="N170" s="99">
        <v>0.27113208406198797</v>
      </c>
      <c r="O170" s="25">
        <f t="shared" si="57"/>
        <v>0.30824742268041239</v>
      </c>
      <c r="P170" s="14">
        <f>IFERROR(IF(OR(B170&amp;C170="PAU",B170&amp;C170="AIN"),VLOOKUP(B170&amp;C170&amp;G170,#REF!,8,0),VLOOKUP(B170&amp;G170,#REF!,8,0)),0)</f>
        <v>0</v>
      </c>
      <c r="Q170" s="15">
        <f t="shared" si="52"/>
        <v>0.27113208406198797</v>
      </c>
      <c r="R170" s="16" t="str">
        <f t="shared" si="58"/>
        <v>AOP</v>
      </c>
      <c r="S170" s="17">
        <f t="shared" si="59"/>
        <v>272.89444260839088</v>
      </c>
      <c r="T170" s="18">
        <f t="shared" si="60"/>
        <v>272.89444260839088</v>
      </c>
      <c r="U170" s="23">
        <f t="shared" si="55"/>
        <v>1006.5</v>
      </c>
      <c r="Y170" s="8" t="str">
        <f t="shared" si="61"/>
        <v>AVNH66031MPC15</v>
      </c>
      <c r="Z170" s="8" t="str">
        <f>IF(Y170='Input - Bookings'!S149,"OK","Check")</f>
        <v>Check</v>
      </c>
      <c r="AA170" s="118"/>
      <c r="AB170" s="103"/>
      <c r="AC170" s="103"/>
      <c r="AD170" s="100">
        <f t="shared" si="71"/>
        <v>712.23840523457204</v>
      </c>
      <c r="AE170" s="100"/>
      <c r="AF170" s="8" t="str">
        <f t="array" ref="AF170">_xlfn.XLOOKUP($G170,'AP Plants'!D:D,'AP Plants'!B:B)</f>
        <v>Class 3</v>
      </c>
      <c r="AG170" s="102"/>
      <c r="AH170" s="102">
        <f t="shared" si="65"/>
        <v>712.23840523457204</v>
      </c>
      <c r="AI170" s="44">
        <v>1.4999999999999999E-2</v>
      </c>
      <c r="AJ170" s="15">
        <f>_xlfn.XLOOKUP($AF170,Warranty!B:B,Warranty!E:E)</f>
        <v>1.4999999999999999E-2</v>
      </c>
      <c r="AK170" s="8">
        <f>IF($I170="AUD",VLOOKUP(RIGHT('Wk - Margins'!$G170,3),'AU Freight'!C:G,5,0),0)</f>
        <v>0</v>
      </c>
      <c r="AL170" s="15">
        <f t="shared" si="66"/>
        <v>0</v>
      </c>
      <c r="AM170" s="61">
        <f t="shared" si="70"/>
        <v>733.60555739160907</v>
      </c>
      <c r="AN170" s="63">
        <f t="shared" si="68"/>
        <v>0.27113208406198797</v>
      </c>
      <c r="AQ170" s="147"/>
    </row>
    <row r="171" spans="1:43" ht="14.45" customHeight="1">
      <c r="A171" s="10" t="str">
        <f>'Input - Bookings'!A171</f>
        <v>10-17</v>
      </c>
      <c r="B171" s="11" t="str">
        <f>'Input - Bookings'!C171</f>
        <v>A</v>
      </c>
      <c r="C171" s="11" t="str">
        <f>'Input - Bookings'!H171</f>
        <v>VN</v>
      </c>
      <c r="D171" s="24" t="str">
        <f>'Input - Bookings'!E171</f>
        <v>067</v>
      </c>
      <c r="E171" s="24" t="str">
        <f>'Input - Bookings'!G171</f>
        <v>KY LUC CO., LTD</v>
      </c>
      <c r="F171" s="146" t="str">
        <f>'Input - Bookings'!I171</f>
        <v>H66032</v>
      </c>
      <c r="G171" s="24" t="str">
        <f>'Input - Bookings'!L171</f>
        <v>A3D4</v>
      </c>
      <c r="H171" s="24" t="str">
        <f>'Input - Bookings'!M171</f>
        <v>MPC15</v>
      </c>
      <c r="I171" s="24" t="str">
        <f>'Input - Bookings'!B171</f>
        <v>USD</v>
      </c>
      <c r="J171" s="13" t="str">
        <f>IF(I171="USD",INDEX('AP Plants'!A:A,MATCH(G171,'AP Plants'!D:D,0)),INDEX('Australia Plants'!A:A,MATCH(G171,'Australia Plants'!D:D,0)))</f>
        <v>Staxx</v>
      </c>
      <c r="K171" s="73">
        <v>1</v>
      </c>
      <c r="L171" s="97">
        <v>1455</v>
      </c>
      <c r="M171" s="97">
        <v>1006.5</v>
      </c>
      <c r="N171" s="99">
        <v>0.27113208406198797</v>
      </c>
      <c r="O171" s="25">
        <f t="shared" si="57"/>
        <v>0.30824742268041239</v>
      </c>
      <c r="P171" s="14">
        <f>IFERROR(IF(OR(B171&amp;C171="PAU",B171&amp;C171="AIN"),VLOOKUP(B171&amp;C171&amp;G171,#REF!,8,0),VLOOKUP(B171&amp;G171,#REF!,8,0)),0)</f>
        <v>0</v>
      </c>
      <c r="Q171" s="15">
        <f t="shared" si="52"/>
        <v>0.27113208406198797</v>
      </c>
      <c r="R171" s="16" t="str">
        <f t="shared" si="58"/>
        <v>AOP</v>
      </c>
      <c r="S171" s="17">
        <f t="shared" si="59"/>
        <v>272.89444260839088</v>
      </c>
      <c r="T171" s="18">
        <f t="shared" si="60"/>
        <v>272.89444260839088</v>
      </c>
      <c r="U171" s="23">
        <f t="shared" si="55"/>
        <v>1006.5</v>
      </c>
      <c r="Y171" s="8" t="str">
        <f t="shared" si="61"/>
        <v>AVNH66032MPC15</v>
      </c>
      <c r="Z171" s="8" t="str">
        <f>IF(Y171='Input - Bookings'!S150,"OK","Check")</f>
        <v>Check</v>
      </c>
      <c r="AA171" s="118"/>
      <c r="AB171" s="103"/>
      <c r="AC171" s="103"/>
      <c r="AD171" s="100">
        <f t="shared" si="71"/>
        <v>712.23840523457204</v>
      </c>
      <c r="AE171" s="100"/>
      <c r="AF171" s="8" t="str">
        <f t="array" ref="AF171">_xlfn.XLOOKUP($G171,'AP Plants'!D:D,'AP Plants'!B:B)</f>
        <v>Class 3</v>
      </c>
      <c r="AG171" s="102"/>
      <c r="AH171" s="102">
        <f t="shared" si="65"/>
        <v>712.23840523457204</v>
      </c>
      <c r="AI171" s="44">
        <v>1.4999999999999999E-2</v>
      </c>
      <c r="AJ171" s="15">
        <f>_xlfn.XLOOKUP($AF171,Warranty!B:B,Warranty!E:E)</f>
        <v>1.4999999999999999E-2</v>
      </c>
      <c r="AK171" s="8">
        <f>IF($I171="AUD",VLOOKUP(RIGHT('Wk - Margins'!$G171,3),'AU Freight'!C:G,5,0),0)</f>
        <v>0</v>
      </c>
      <c r="AL171" s="15">
        <f t="shared" si="66"/>
        <v>0</v>
      </c>
      <c r="AM171" s="61">
        <f t="shared" si="70"/>
        <v>733.60555739160907</v>
      </c>
      <c r="AN171" s="63">
        <f t="shared" si="68"/>
        <v>0.27113208406198797</v>
      </c>
      <c r="AQ171" s="147"/>
    </row>
    <row r="172" spans="1:43" ht="14.45" customHeight="1">
      <c r="A172" s="10" t="str">
        <f>'Input - Bookings'!A172</f>
        <v>10-17</v>
      </c>
      <c r="B172" s="11" t="str">
        <f>'Input - Bookings'!C172</f>
        <v>A</v>
      </c>
      <c r="C172" s="11" t="str">
        <f>'Input - Bookings'!H172</f>
        <v>VN</v>
      </c>
      <c r="D172" s="24" t="str">
        <f>'Input - Bookings'!E172</f>
        <v>067</v>
      </c>
      <c r="E172" s="24" t="str">
        <f>'Input - Bookings'!G172</f>
        <v>KY LUC CO., LTD</v>
      </c>
      <c r="F172" s="146" t="str">
        <f>'Input - Bookings'!I172</f>
        <v>H66033</v>
      </c>
      <c r="G172" s="24" t="str">
        <f>'Input - Bookings'!L172</f>
        <v>A3D4</v>
      </c>
      <c r="H172" s="24" t="str">
        <f>'Input - Bookings'!M172</f>
        <v>MPC15</v>
      </c>
      <c r="I172" s="24" t="str">
        <f>'Input - Bookings'!B172</f>
        <v>USD</v>
      </c>
      <c r="J172" s="13" t="str">
        <f>IF(I172="USD",INDEX('AP Plants'!A:A,MATCH(G172,'AP Plants'!D:D,0)),INDEX('Australia Plants'!A:A,MATCH(G172,'Australia Plants'!D:D,0)))</f>
        <v>Staxx</v>
      </c>
      <c r="K172" s="73">
        <v>1</v>
      </c>
      <c r="L172" s="97">
        <v>1455</v>
      </c>
      <c r="M172" s="97">
        <v>1006.5</v>
      </c>
      <c r="N172" s="99">
        <v>0.27113208406198797</v>
      </c>
      <c r="O172" s="25">
        <f t="shared" si="57"/>
        <v>0.30824742268041239</v>
      </c>
      <c r="P172" s="14">
        <f>IFERROR(IF(OR(B172&amp;C172="PAU",B172&amp;C172="AIN"),VLOOKUP(B172&amp;C172&amp;G172,#REF!,8,0),VLOOKUP(B172&amp;G172,#REF!,8,0)),0)</f>
        <v>0</v>
      </c>
      <c r="Q172" s="15">
        <f t="shared" si="52"/>
        <v>0.27113208406198797</v>
      </c>
      <c r="R172" s="16" t="str">
        <f t="shared" si="58"/>
        <v>AOP</v>
      </c>
      <c r="S172" s="17">
        <f t="shared" si="59"/>
        <v>272.89444260839088</v>
      </c>
      <c r="T172" s="18">
        <f t="shared" si="60"/>
        <v>272.89444260839088</v>
      </c>
      <c r="U172" s="23">
        <f t="shared" si="55"/>
        <v>1006.5</v>
      </c>
      <c r="Y172" s="8" t="str">
        <f t="shared" si="61"/>
        <v>AVNH66033MPC15</v>
      </c>
      <c r="Z172" s="8" t="str">
        <f>IF(Y172='Input - Bookings'!S151,"OK","Check")</f>
        <v>Check</v>
      </c>
      <c r="AA172" s="118"/>
      <c r="AB172" s="103"/>
      <c r="AC172" s="103"/>
      <c r="AD172" s="100">
        <f t="shared" si="71"/>
        <v>712.23840523457204</v>
      </c>
      <c r="AE172" s="100"/>
      <c r="AF172" s="8" t="str">
        <f t="array" ref="AF172">_xlfn.XLOOKUP($G172,'AP Plants'!D:D,'AP Plants'!B:B)</f>
        <v>Class 3</v>
      </c>
      <c r="AG172" s="102"/>
      <c r="AH172" s="102">
        <f t="shared" si="65"/>
        <v>712.23840523457204</v>
      </c>
      <c r="AI172" s="44">
        <v>1.4999999999999999E-2</v>
      </c>
      <c r="AJ172" s="15">
        <f>_xlfn.XLOOKUP($AF172,Warranty!B:B,Warranty!E:E)</f>
        <v>1.4999999999999999E-2</v>
      </c>
      <c r="AK172" s="8">
        <f>IF($I172="AUD",VLOOKUP(RIGHT('Wk - Margins'!$G172,3),'AU Freight'!C:G,5,0),0)</f>
        <v>0</v>
      </c>
      <c r="AL172" s="15">
        <f t="shared" si="66"/>
        <v>0</v>
      </c>
      <c r="AM172" s="61">
        <f t="shared" si="70"/>
        <v>733.60555739160907</v>
      </c>
      <c r="AN172" s="63">
        <f t="shared" si="68"/>
        <v>0.27113208406198797</v>
      </c>
      <c r="AQ172" s="147"/>
    </row>
    <row r="173" spans="1:43" ht="14.45" customHeight="1">
      <c r="A173" s="10" t="str">
        <f>'Input - Bookings'!A173</f>
        <v>10-17</v>
      </c>
      <c r="B173" s="11" t="str">
        <f>'Input - Bookings'!C173</f>
        <v>A</v>
      </c>
      <c r="C173" s="11" t="str">
        <f>'Input - Bookings'!H173</f>
        <v>VN</v>
      </c>
      <c r="D173" s="24" t="str">
        <f>'Input - Bookings'!E173</f>
        <v>067</v>
      </c>
      <c r="E173" s="24" t="str">
        <f>'Input - Bookings'!G173</f>
        <v>KY LUC CO., LTD</v>
      </c>
      <c r="F173" s="146" t="str">
        <f>'Input - Bookings'!I173</f>
        <v>H66034</v>
      </c>
      <c r="G173" s="24" t="str">
        <f>'Input - Bookings'!L173</f>
        <v>A3D4</v>
      </c>
      <c r="H173" s="24" t="str">
        <f>'Input - Bookings'!M173</f>
        <v>MPC15</v>
      </c>
      <c r="I173" s="24" t="str">
        <f>'Input - Bookings'!B173</f>
        <v>USD</v>
      </c>
      <c r="J173" s="13" t="str">
        <f>IF(I173="USD",INDEX('AP Plants'!A:A,MATCH(G173,'AP Plants'!D:D,0)),INDEX('Australia Plants'!A:A,MATCH(G173,'Australia Plants'!D:D,0)))</f>
        <v>Staxx</v>
      </c>
      <c r="K173" s="73">
        <v>1</v>
      </c>
      <c r="L173" s="97">
        <v>1455</v>
      </c>
      <c r="M173" s="97">
        <v>1006.5</v>
      </c>
      <c r="N173" s="99">
        <v>0.27113208406198797</v>
      </c>
      <c r="O173" s="25">
        <f t="shared" si="57"/>
        <v>0.30824742268041239</v>
      </c>
      <c r="P173" s="14">
        <f>IFERROR(IF(OR(B173&amp;C173="PAU",B173&amp;C173="AIN"),VLOOKUP(B173&amp;C173&amp;G173,#REF!,8,0),VLOOKUP(B173&amp;G173,#REF!,8,0)),0)</f>
        <v>0</v>
      </c>
      <c r="Q173" s="15">
        <f t="shared" si="52"/>
        <v>0.27113208406198797</v>
      </c>
      <c r="R173" s="16" t="str">
        <f t="shared" si="58"/>
        <v>AOP</v>
      </c>
      <c r="S173" s="17">
        <f t="shared" si="59"/>
        <v>272.89444260839088</v>
      </c>
      <c r="T173" s="18">
        <f t="shared" si="60"/>
        <v>272.89444260839088</v>
      </c>
      <c r="U173" s="23">
        <f t="shared" si="55"/>
        <v>1006.5</v>
      </c>
      <c r="Y173" s="8" t="str">
        <f t="shared" si="61"/>
        <v>AVNH66034MPC15</v>
      </c>
      <c r="Z173" s="8" t="str">
        <f>IF(Y173='Input - Bookings'!S152,"OK","Check")</f>
        <v>Check</v>
      </c>
      <c r="AA173" s="118"/>
      <c r="AB173" s="103"/>
      <c r="AC173" s="103"/>
      <c r="AD173" s="100">
        <f t="shared" si="71"/>
        <v>712.23840523457204</v>
      </c>
      <c r="AE173" s="100"/>
      <c r="AF173" s="8" t="str">
        <f t="array" ref="AF173">_xlfn.XLOOKUP($G173,'AP Plants'!D:D,'AP Plants'!B:B)</f>
        <v>Class 3</v>
      </c>
      <c r="AG173" s="102"/>
      <c r="AH173" s="102">
        <f t="shared" si="65"/>
        <v>712.23840523457204</v>
      </c>
      <c r="AI173" s="44">
        <v>1.4999999999999999E-2</v>
      </c>
      <c r="AJ173" s="15">
        <f>_xlfn.XLOOKUP($AF173,Warranty!B:B,Warranty!E:E)</f>
        <v>1.4999999999999999E-2</v>
      </c>
      <c r="AK173" s="8">
        <f>IF($I173="AUD",VLOOKUP(RIGHT('Wk - Margins'!$G173,3),'AU Freight'!C:G,5,0),0)</f>
        <v>0</v>
      </c>
      <c r="AL173" s="15">
        <f t="shared" si="66"/>
        <v>0</v>
      </c>
      <c r="AM173" s="61">
        <f t="shared" si="70"/>
        <v>733.60555739160907</v>
      </c>
      <c r="AN173" s="63">
        <f t="shared" si="68"/>
        <v>0.27113208406198797</v>
      </c>
      <c r="AQ173" s="147"/>
    </row>
    <row r="174" spans="1:43" ht="14.45" customHeight="1">
      <c r="A174" s="10" t="str">
        <f>'Input - Bookings'!A174</f>
        <v>10-17</v>
      </c>
      <c r="B174" s="11" t="str">
        <f>'Input - Bookings'!C174</f>
        <v>A</v>
      </c>
      <c r="C174" s="11" t="str">
        <f>'Input - Bookings'!H174</f>
        <v>VN</v>
      </c>
      <c r="D174" s="24" t="str">
        <f>'Input - Bookings'!E174</f>
        <v>067</v>
      </c>
      <c r="E174" s="24" t="str">
        <f>'Input - Bookings'!G174</f>
        <v>KY LUC CO., LTD</v>
      </c>
      <c r="F174" s="146" t="str">
        <f>'Input - Bookings'!I174</f>
        <v>H66035</v>
      </c>
      <c r="G174" s="24" t="str">
        <f>'Input - Bookings'!L174</f>
        <v>A3D4</v>
      </c>
      <c r="H174" s="24" t="str">
        <f>'Input - Bookings'!M174</f>
        <v>MPC15</v>
      </c>
      <c r="I174" s="24" t="str">
        <f>'Input - Bookings'!B174</f>
        <v>USD</v>
      </c>
      <c r="J174" s="13" t="str">
        <f>IF(I174="USD",INDEX('AP Plants'!A:A,MATCH(G174,'AP Plants'!D:D,0)),INDEX('Australia Plants'!A:A,MATCH(G174,'Australia Plants'!D:D,0)))</f>
        <v>Staxx</v>
      </c>
      <c r="K174" s="73">
        <v>1</v>
      </c>
      <c r="L174" s="97">
        <v>1455</v>
      </c>
      <c r="M174" s="97">
        <v>1006.5</v>
      </c>
      <c r="N174" s="99">
        <v>0.27113208406198797</v>
      </c>
      <c r="O174" s="25">
        <f t="shared" si="57"/>
        <v>0.30824742268041239</v>
      </c>
      <c r="P174" s="14">
        <f>IFERROR(IF(OR(B174&amp;C174="PAU",B174&amp;C174="AIN"),VLOOKUP(B174&amp;C174&amp;G174,#REF!,8,0),VLOOKUP(B174&amp;G174,#REF!,8,0)),0)</f>
        <v>0</v>
      </c>
      <c r="Q174" s="15">
        <f t="shared" si="52"/>
        <v>0.27113208406198797</v>
      </c>
      <c r="R174" s="16" t="str">
        <f t="shared" si="58"/>
        <v>AOP</v>
      </c>
      <c r="S174" s="17">
        <f t="shared" si="59"/>
        <v>272.89444260839088</v>
      </c>
      <c r="T174" s="18">
        <f t="shared" si="60"/>
        <v>272.89444260839088</v>
      </c>
      <c r="U174" s="23">
        <f t="shared" si="55"/>
        <v>1006.5</v>
      </c>
      <c r="Y174" s="8" t="str">
        <f t="shared" si="61"/>
        <v>AVNH66035MPC15</v>
      </c>
      <c r="Z174" s="8" t="str">
        <f>IF(Y174='Input - Bookings'!S153,"OK","Check")</f>
        <v>Check</v>
      </c>
      <c r="AA174" s="139"/>
      <c r="AB174" s="103"/>
      <c r="AC174" s="103"/>
      <c r="AD174" s="100">
        <f t="shared" si="71"/>
        <v>712.23840523457204</v>
      </c>
      <c r="AE174" s="100"/>
      <c r="AF174" s="8" t="str">
        <f t="array" ref="AF174">_xlfn.XLOOKUP($G174,'AP Plants'!D:D,'AP Plants'!B:B)</f>
        <v>Class 3</v>
      </c>
      <c r="AG174" s="102"/>
      <c r="AH174" s="102">
        <f t="shared" si="65"/>
        <v>712.23840523457204</v>
      </c>
      <c r="AI174" s="44">
        <v>1.4999999999999999E-2</v>
      </c>
      <c r="AJ174" s="15">
        <f>_xlfn.XLOOKUP($AF174,Warranty!B:B,Warranty!E:E)</f>
        <v>1.4999999999999999E-2</v>
      </c>
      <c r="AK174" s="8">
        <f>IF($I174="AUD",VLOOKUP(RIGHT('Wk - Margins'!$G174,3),'AU Freight'!C:G,5,0),0)</f>
        <v>0</v>
      </c>
      <c r="AL174" s="15">
        <f t="shared" si="66"/>
        <v>0</v>
      </c>
      <c r="AM174" s="61">
        <f t="shared" si="70"/>
        <v>733.60555739160907</v>
      </c>
      <c r="AN174" s="63">
        <f t="shared" si="68"/>
        <v>0.27113208406198797</v>
      </c>
      <c r="AQ174" s="147"/>
    </row>
    <row r="175" spans="1:43" ht="14.45" customHeight="1">
      <c r="A175" s="10" t="str">
        <f>'Input - Bookings'!A175</f>
        <v>10-18</v>
      </c>
      <c r="B175" s="11" t="str">
        <f>'Input - Bookings'!C175</f>
        <v>A</v>
      </c>
      <c r="C175" s="11" t="str">
        <f>'Input - Bookings'!H175</f>
        <v>VN</v>
      </c>
      <c r="D175" s="24" t="str">
        <f>'Input - Bookings'!E175</f>
        <v>067</v>
      </c>
      <c r="E175" s="24" t="str">
        <f>'Input - Bookings'!G175</f>
        <v>KY LUC CO., LTD</v>
      </c>
      <c r="F175" s="24" t="str">
        <f>'Input - Bookings'!I175</f>
        <v>H66340</v>
      </c>
      <c r="G175" s="24" t="str">
        <f>'Input - Bookings'!L175</f>
        <v>A7R5</v>
      </c>
      <c r="H175" s="24" t="str">
        <f>'Input - Bookings'!M175</f>
        <v>MP20UX</v>
      </c>
      <c r="I175" s="24" t="str">
        <f>'Input - Bookings'!B175</f>
        <v>USD</v>
      </c>
      <c r="J175" s="13" t="str">
        <f>IF(I175="USD",INDEX('AP Plants'!A:A,MATCH(G175,'AP Plants'!D:D,0)),INDEX('Australia Plants'!A:A,MATCH(G175,'Australia Plants'!D:D,0)))</f>
        <v>Ruyi</v>
      </c>
      <c r="K175" s="73">
        <v>1</v>
      </c>
      <c r="L175" s="97">
        <v>3235</v>
      </c>
      <c r="M175" s="97">
        <v>2252</v>
      </c>
      <c r="N175" s="99">
        <v>0.20865759704592535</v>
      </c>
      <c r="O175" s="25">
        <f t="shared" si="57"/>
        <v>0.30386398763523959</v>
      </c>
      <c r="P175" s="14">
        <f>IFERROR(IF(OR(B175&amp;C175="PAU",B175&amp;C175="AIN"),VLOOKUP(B175&amp;C175&amp;G175,#REF!,8,0),VLOOKUP(B175&amp;G175,#REF!,8,0)),0)</f>
        <v>0</v>
      </c>
      <c r="Q175" s="15">
        <f t="shared" si="52"/>
        <v>0.20865759704592535</v>
      </c>
      <c r="R175" s="16" t="str">
        <f t="shared" si="58"/>
        <v>AOP</v>
      </c>
      <c r="S175" s="17">
        <f t="shared" si="59"/>
        <v>469.89690854742389</v>
      </c>
      <c r="T175" s="18">
        <f t="shared" si="60"/>
        <v>469.89690854742389</v>
      </c>
      <c r="U175" s="23">
        <f t="shared" si="55"/>
        <v>2252</v>
      </c>
      <c r="Y175" s="8" t="str">
        <f t="shared" si="61"/>
        <v>AVNH66340MP20UX</v>
      </c>
      <c r="Z175" s="8" t="str">
        <f>IF(Y175='Input - Bookings'!S154,"OK","Check")</f>
        <v>Check</v>
      </c>
      <c r="AA175" s="139"/>
      <c r="AB175" s="103"/>
      <c r="AC175" s="103"/>
      <c r="AD175" s="100">
        <v>1730.19717616755</v>
      </c>
      <c r="AE175" s="100"/>
      <c r="AF175" s="8" t="str">
        <f t="array" ref="AF175">_xlfn.XLOOKUP($G175,'AP Plants'!D:D,'AP Plants'!B:B)</f>
        <v>Class 3</v>
      </c>
      <c r="AG175" s="102"/>
      <c r="AH175" s="102">
        <f t="shared" si="65"/>
        <v>1730.19717616755</v>
      </c>
      <c r="AI175" s="44">
        <v>1.4999999999999999E-2</v>
      </c>
      <c r="AJ175" s="15">
        <f>_xlfn.XLOOKUP($AF175,Warranty!B:B,Warranty!E:E)</f>
        <v>1.4999999999999999E-2</v>
      </c>
      <c r="AK175" s="8">
        <f>IF($I175="AUD",VLOOKUP(RIGHT('Wk - Margins'!$G175,3),'AU Freight'!C:G,5,0),0)</f>
        <v>0</v>
      </c>
      <c r="AL175" s="15">
        <f t="shared" si="66"/>
        <v>0</v>
      </c>
      <c r="AM175" s="61">
        <f t="shared" si="70"/>
        <v>1782.1030914525761</v>
      </c>
      <c r="AN175" s="63">
        <f t="shared" si="68"/>
        <v>0.20865759704592535</v>
      </c>
      <c r="AQ175" s="147"/>
    </row>
    <row r="176" spans="1:43" ht="14.45" customHeight="1">
      <c r="A176" s="10" t="str">
        <f>'Input - Bookings'!A176</f>
        <v>10-18</v>
      </c>
      <c r="B176" s="11" t="str">
        <f>'Input - Bookings'!C176</f>
        <v>A</v>
      </c>
      <c r="C176" s="11" t="str">
        <f>'Input - Bookings'!H176</f>
        <v>VN</v>
      </c>
      <c r="D176" s="24" t="str">
        <f>'Input - Bookings'!E176</f>
        <v>067</v>
      </c>
      <c r="E176" s="24" t="str">
        <f>'Input - Bookings'!G176</f>
        <v>KY LUC CO., LTD</v>
      </c>
      <c r="F176" s="24" t="str">
        <f>'Input - Bookings'!I176</f>
        <v>H66341</v>
      </c>
      <c r="G176" s="24" t="str">
        <f>'Input - Bookings'!L176</f>
        <v>A7R1</v>
      </c>
      <c r="H176" s="24" t="str">
        <f>'Input - Bookings'!M176</f>
        <v>MP20XUX</v>
      </c>
      <c r="I176" s="24" t="str">
        <f>'Input - Bookings'!B176</f>
        <v>USD</v>
      </c>
      <c r="J176" s="13" t="str">
        <f>IF(I176="USD",INDEX('AP Plants'!A:A,MATCH(G176,'AP Plants'!D:D,0)),INDEX('Australia Plants'!A:A,MATCH(G176,'Australia Plants'!D:D,0)))</f>
        <v>Ruyi</v>
      </c>
      <c r="K176" s="73">
        <v>1</v>
      </c>
      <c r="L176" s="97">
        <v>7015</v>
      </c>
      <c r="M176" s="97">
        <v>4980.2</v>
      </c>
      <c r="N176" s="99">
        <v>0.37093206532400558</v>
      </c>
      <c r="O176" s="25">
        <f t="shared" si="57"/>
        <v>0.29006414825374205</v>
      </c>
      <c r="P176" s="14">
        <f>IFERROR(IF(OR(B176&amp;C176="PAU",B176&amp;C176="AIN"),VLOOKUP(B176&amp;C176&amp;G176,#REF!,8,0),VLOOKUP(B176&amp;G176,#REF!,8,0)),0)</f>
        <v>0</v>
      </c>
      <c r="Q176" s="15">
        <f t="shared" si="52"/>
        <v>0.37093206532400558</v>
      </c>
      <c r="R176" s="16" t="str">
        <f t="shared" si="58"/>
        <v>AOP</v>
      </c>
      <c r="S176" s="17">
        <f t="shared" si="59"/>
        <v>1847.3158717266126</v>
      </c>
      <c r="T176" s="18">
        <f t="shared" si="60"/>
        <v>1847.3158717266126</v>
      </c>
      <c r="U176" s="23">
        <f t="shared" si="55"/>
        <v>4980.2</v>
      </c>
      <c r="Y176" s="8" t="str">
        <f t="shared" si="61"/>
        <v>AVNH66341MP20XUX</v>
      </c>
      <c r="Z176" s="8" t="str">
        <f>IF(Y176='Input - Bookings'!S155,"OK","Check")</f>
        <v>Check</v>
      </c>
      <c r="AA176" s="139"/>
      <c r="AB176" s="103"/>
      <c r="AC176" s="103"/>
      <c r="AD176" s="100">
        <v>3041.6350759935808</v>
      </c>
      <c r="AE176" s="100"/>
      <c r="AF176" s="8" t="str">
        <f t="array" ref="AF176">_xlfn.XLOOKUP($G176,'AP Plants'!D:D,'AP Plants'!B:B)</f>
        <v>Class 3</v>
      </c>
      <c r="AG176" s="102"/>
      <c r="AH176" s="102">
        <f t="shared" si="65"/>
        <v>3041.6350759935808</v>
      </c>
      <c r="AI176" s="44">
        <v>1.4999999999999999E-2</v>
      </c>
      <c r="AJ176" s="15">
        <f>_xlfn.XLOOKUP($AF176,Warranty!B:B,Warranty!E:E)</f>
        <v>1.4999999999999999E-2</v>
      </c>
      <c r="AK176" s="8">
        <f>IF($I176="AUD",VLOOKUP(RIGHT('Wk - Margins'!$G176,3),'AU Freight'!C:G,5,0),0)</f>
        <v>0</v>
      </c>
      <c r="AL176" s="15">
        <f t="shared" si="66"/>
        <v>0</v>
      </c>
      <c r="AM176" s="61">
        <f t="shared" si="70"/>
        <v>3132.8841282733874</v>
      </c>
      <c r="AN176" s="63">
        <f t="shared" si="68"/>
        <v>0.37093206532400558</v>
      </c>
      <c r="AQ176" s="147"/>
    </row>
    <row r="177" spans="1:43" ht="14.45" customHeight="1">
      <c r="A177" s="10" t="str">
        <f>'Input - Bookings'!A177</f>
        <v>10-19</v>
      </c>
      <c r="B177" s="11" t="str">
        <f>'Input - Bookings'!C177</f>
        <v>A</v>
      </c>
      <c r="C177" s="11" t="str">
        <f>'Input - Bookings'!H177</f>
        <v>KR</v>
      </c>
      <c r="D177" s="24" t="str">
        <f>'Input - Bookings'!E177</f>
        <v>065</v>
      </c>
      <c r="E177" s="24" t="str">
        <f>'Input - Bookings'!G177</f>
        <v>HYSTER KOREA INC.</v>
      </c>
      <c r="F177" s="24" t="str">
        <f>'Input - Bookings'!I177</f>
        <v>H66986</v>
      </c>
      <c r="G177" s="24" t="str">
        <f>'Input - Bookings'!L177</f>
        <v>A3B6</v>
      </c>
      <c r="H177" s="24" t="str">
        <f>'Input - Bookings'!M177</f>
        <v>SL1.5UT</v>
      </c>
      <c r="I177" s="24" t="str">
        <f>'Input - Bookings'!B177</f>
        <v>USD</v>
      </c>
      <c r="J177" s="13" t="str">
        <f>IF(I177="USD",INDEX('AP Plants'!A:A,MATCH(G177,'AP Plants'!D:D,0)),INDEX('Australia Plants'!A:A,MATCH(G177,'Australia Plants'!D:D,0)))</f>
        <v>Ruyi</v>
      </c>
      <c r="K177" s="73">
        <v>1</v>
      </c>
      <c r="L177" s="97">
        <v>7710</v>
      </c>
      <c r="M177" s="97">
        <v>4626</v>
      </c>
      <c r="N177" s="99">
        <v>0.23226071790690517</v>
      </c>
      <c r="O177" s="25">
        <f t="shared" si="57"/>
        <v>0.4</v>
      </c>
      <c r="P177" s="14">
        <f>IFERROR(IF(OR(B177&amp;C177="PAU",B177&amp;C177="AIN"),VLOOKUP(B177&amp;C177&amp;G177,#REF!,8,0),VLOOKUP(B177&amp;G177,#REF!,8,0)),0)</f>
        <v>0</v>
      </c>
      <c r="Q177" s="15">
        <f t="shared" si="52"/>
        <v>0.23226071790690517</v>
      </c>
      <c r="R177" s="16" t="str">
        <f t="shared" si="58"/>
        <v>AOP</v>
      </c>
      <c r="S177" s="17">
        <f t="shared" si="59"/>
        <v>1074.4380810373434</v>
      </c>
      <c r="T177" s="18">
        <f t="shared" si="60"/>
        <v>1074.4380810373434</v>
      </c>
      <c r="U177" s="23">
        <f t="shared" si="55"/>
        <v>4626</v>
      </c>
      <c r="Y177" s="8" t="str">
        <f t="shared" si="61"/>
        <v>AKRH66986SL1.5UT</v>
      </c>
      <c r="Z177" s="8" t="str">
        <f>IF(Y177='Input - Bookings'!S156,"OK","Check")</f>
        <v>Check</v>
      </c>
      <c r="AA177" s="139"/>
      <c r="AB177" s="103"/>
      <c r="AC177" s="103"/>
      <c r="AD177" s="100">
        <v>3448.1183679249102</v>
      </c>
      <c r="AE177" s="100"/>
      <c r="AF177" s="8" t="str">
        <f t="array" ref="AF177">_xlfn.XLOOKUP($G177,'AP Plants'!D:D,'AP Plants'!B:B)</f>
        <v>Class 3</v>
      </c>
      <c r="AG177" s="102"/>
      <c r="AH177" s="102">
        <f t="shared" si="65"/>
        <v>3448.1183679249102</v>
      </c>
      <c r="AI177" s="44">
        <v>1.4999999999999999E-2</v>
      </c>
      <c r="AJ177" s="15">
        <f>_xlfn.XLOOKUP($AF177,Warranty!B:B,Warranty!E:E)</f>
        <v>1.4999999999999999E-2</v>
      </c>
      <c r="AK177" s="8">
        <f>IF($I177="AUD",VLOOKUP(RIGHT('Wk - Margins'!$G177,3),'AU Freight'!C:G,5,0),0)</f>
        <v>0</v>
      </c>
      <c r="AL177" s="15">
        <f t="shared" si="66"/>
        <v>0</v>
      </c>
      <c r="AM177" s="61">
        <f t="shared" si="70"/>
        <v>3551.5619189626568</v>
      </c>
      <c r="AN177" s="63">
        <f t="shared" si="68"/>
        <v>0.23226071790690517</v>
      </c>
      <c r="AQ177" s="147"/>
    </row>
    <row r="178" spans="1:43" ht="14.45" customHeight="1">
      <c r="A178" s="10" t="str">
        <f>'Input - Bookings'!A178</f>
        <v>10-19</v>
      </c>
      <c r="B178" s="11" t="str">
        <f>'Input - Bookings'!C178</f>
        <v>A</v>
      </c>
      <c r="C178" s="11" t="str">
        <f>'Input - Bookings'!H178</f>
        <v>KR</v>
      </c>
      <c r="D178" s="24" t="str">
        <f>'Input - Bookings'!E178</f>
        <v>065</v>
      </c>
      <c r="E178" s="24" t="str">
        <f>'Input - Bookings'!G178</f>
        <v>HYSTER KOREA INC.</v>
      </c>
      <c r="F178" s="24" t="str">
        <f>'Input - Bookings'!I178</f>
        <v>H66987</v>
      </c>
      <c r="G178" s="24" t="str">
        <f>'Input - Bookings'!L178</f>
        <v>A3B1</v>
      </c>
      <c r="H178" s="24" t="str">
        <f>'Input - Bookings'!M178</f>
        <v>P2.0UTS</v>
      </c>
      <c r="I178" s="24" t="str">
        <f>'Input - Bookings'!B178</f>
        <v>USD</v>
      </c>
      <c r="J178" s="13" t="str">
        <f>IF(I178="USD",INDEX('AP Plants'!A:A,MATCH(G178,'AP Plants'!D:D,0)),INDEX('Australia Plants'!A:A,MATCH(G178,'Australia Plants'!D:D,0)))</f>
        <v>Ruyi</v>
      </c>
      <c r="K178" s="73">
        <v>1</v>
      </c>
      <c r="L178" s="97">
        <v>7250</v>
      </c>
      <c r="M178" s="97">
        <v>4747</v>
      </c>
      <c r="N178" s="99">
        <v>0.3146957565639813</v>
      </c>
      <c r="O178" s="25">
        <f t="shared" si="57"/>
        <v>0.34524137931034482</v>
      </c>
      <c r="P178" s="14">
        <f>IFERROR(IF(OR(B178&amp;C178="PAU",B178&amp;C178="AIN"),VLOOKUP(B178&amp;C178&amp;G178,#REF!,8,0),VLOOKUP(B178&amp;G178,#REF!,8,0)),0)</f>
        <v>0</v>
      </c>
      <c r="Q178" s="15">
        <f t="shared" si="52"/>
        <v>0.3146957565639813</v>
      </c>
      <c r="R178" s="16" t="str">
        <f t="shared" si="58"/>
        <v>AOP</v>
      </c>
      <c r="S178" s="17">
        <f t="shared" si="59"/>
        <v>1493.8607564092192</v>
      </c>
      <c r="T178" s="18">
        <f t="shared" si="60"/>
        <v>1493.8607564092192</v>
      </c>
      <c r="U178" s="23">
        <f t="shared" si="55"/>
        <v>4747</v>
      </c>
      <c r="Y178" s="8" t="str">
        <f t="shared" si="61"/>
        <v>AKRH66987P2.0UTS</v>
      </c>
      <c r="Z178" s="8" t="str">
        <f>IF(Y178='Input - Bookings'!S176,"OK","Check")</f>
        <v>Check</v>
      </c>
      <c r="AA178" s="139"/>
      <c r="AB178" s="103"/>
      <c r="AC178" s="103"/>
      <c r="AD178" s="100">
        <v>3158.3876151366808</v>
      </c>
      <c r="AE178" s="100"/>
      <c r="AF178" s="8" t="str">
        <f t="array" ref="AF178">_xlfn.XLOOKUP($G178,'AP Plants'!D:D,'AP Plants'!B:B)</f>
        <v>Class 3</v>
      </c>
      <c r="AG178" s="102"/>
      <c r="AH178" s="102">
        <f t="shared" si="65"/>
        <v>3158.3876151366808</v>
      </c>
      <c r="AI178" s="44">
        <v>1.4999999999999999E-2</v>
      </c>
      <c r="AJ178" s="15">
        <f>_xlfn.XLOOKUP($AF178,Warranty!B:B,Warranty!E:E)</f>
        <v>1.4999999999999999E-2</v>
      </c>
      <c r="AK178" s="8">
        <f>IF($I178="AUD",VLOOKUP(RIGHT('Wk - Margins'!$G178,3),'AU Freight'!C:G,5,0),0)</f>
        <v>0</v>
      </c>
      <c r="AL178" s="15">
        <f t="shared" si="66"/>
        <v>0</v>
      </c>
      <c r="AM178" s="61">
        <f t="shared" si="70"/>
        <v>3253.1392435907806</v>
      </c>
      <c r="AN178" s="63">
        <f t="shared" si="68"/>
        <v>0.3146957565639813</v>
      </c>
      <c r="AQ178" s="147"/>
    </row>
    <row r="179" spans="1:43" ht="14.45" customHeight="1">
      <c r="A179" s="10" t="str">
        <f>'Input - Bookings'!A179</f>
        <v>10-19</v>
      </c>
      <c r="B179" s="11" t="str">
        <f>'Input - Bookings'!C179</f>
        <v>A</v>
      </c>
      <c r="C179" s="11" t="str">
        <f>'Input - Bookings'!H179</f>
        <v>KR</v>
      </c>
      <c r="D179" s="24" t="str">
        <f>'Input - Bookings'!E179</f>
        <v>065</v>
      </c>
      <c r="E179" s="24" t="str">
        <f>'Input - Bookings'!G179</f>
        <v>HYSTER KOREA INC.</v>
      </c>
      <c r="F179" s="24" t="str">
        <f>'Input - Bookings'!I179</f>
        <v>H66988</v>
      </c>
      <c r="G179" s="24" t="str">
        <f>'Input - Bookings'!L179</f>
        <v>A3B1</v>
      </c>
      <c r="H179" s="24" t="str">
        <f>'Input - Bookings'!M179</f>
        <v>P2.0UTS</v>
      </c>
      <c r="I179" s="24" t="str">
        <f>'Input - Bookings'!B179</f>
        <v>USD</v>
      </c>
      <c r="J179" s="13" t="str">
        <f>IF(I179="USD",INDEX('AP Plants'!A:A,MATCH(G179,'AP Plants'!D:D,0)),INDEX('Australia Plants'!A:A,MATCH(G179,'Australia Plants'!D:D,0)))</f>
        <v>Ruyi</v>
      </c>
      <c r="K179" s="73">
        <v>1</v>
      </c>
      <c r="L179" s="97">
        <v>7250</v>
      </c>
      <c r="M179" s="97">
        <v>4747</v>
      </c>
      <c r="N179" s="99">
        <v>0.3146957565639813</v>
      </c>
      <c r="O179" s="25">
        <f t="shared" si="57"/>
        <v>0.34524137931034482</v>
      </c>
      <c r="P179" s="14">
        <f>IFERROR(IF(OR(B179&amp;C179="PAU",B179&amp;C179="AIN"),VLOOKUP(B179&amp;C179&amp;G179,#REF!,8,0),VLOOKUP(B179&amp;G179,#REF!,8,0)),0)</f>
        <v>0</v>
      </c>
      <c r="Q179" s="15">
        <f t="shared" si="52"/>
        <v>0.3146957565639813</v>
      </c>
      <c r="R179" s="16" t="str">
        <f t="shared" si="58"/>
        <v>AOP</v>
      </c>
      <c r="S179" s="17">
        <f t="shared" si="59"/>
        <v>1493.8607564092192</v>
      </c>
      <c r="T179" s="18">
        <f t="shared" si="60"/>
        <v>1493.8607564092192</v>
      </c>
      <c r="U179" s="23">
        <f t="shared" si="55"/>
        <v>4747</v>
      </c>
      <c r="Y179" s="8" t="str">
        <f t="shared" si="61"/>
        <v>AKRH66988P2.0UTS</v>
      </c>
      <c r="Z179" s="8" t="str">
        <f>IF(Y179='Input - Bookings'!S177,"OK","Check")</f>
        <v>Check</v>
      </c>
      <c r="AA179" s="139"/>
      <c r="AB179" s="103"/>
      <c r="AC179" s="103"/>
      <c r="AD179" s="100">
        <v>3158.3876151366808</v>
      </c>
      <c r="AE179" s="100"/>
      <c r="AF179" s="8" t="str">
        <f t="array" ref="AF179">_xlfn.XLOOKUP($G179,'AP Plants'!D:D,'AP Plants'!B:B)</f>
        <v>Class 3</v>
      </c>
      <c r="AG179" s="102"/>
      <c r="AH179" s="102">
        <f t="shared" si="65"/>
        <v>3158.3876151366808</v>
      </c>
      <c r="AI179" s="44">
        <v>1.4999999999999999E-2</v>
      </c>
      <c r="AJ179" s="15">
        <f>_xlfn.XLOOKUP($AF179,Warranty!B:B,Warranty!E:E)</f>
        <v>1.4999999999999999E-2</v>
      </c>
      <c r="AK179" s="8">
        <f>IF($I179="AUD",VLOOKUP(RIGHT('Wk - Margins'!$G179,3),'AU Freight'!C:G,5,0),0)</f>
        <v>0</v>
      </c>
      <c r="AL179" s="15">
        <f t="shared" si="66"/>
        <v>0</v>
      </c>
      <c r="AM179" s="61">
        <f t="shared" si="70"/>
        <v>3253.1392435907806</v>
      </c>
      <c r="AN179" s="63">
        <f t="shared" si="68"/>
        <v>0.3146957565639813</v>
      </c>
      <c r="AQ179" s="147"/>
    </row>
    <row r="180" spans="1:43" ht="14.45" customHeight="1">
      <c r="A180" s="10" t="str">
        <f>'Input - Bookings'!A180</f>
        <v>10-19</v>
      </c>
      <c r="B180" s="11" t="str">
        <f>'Input - Bookings'!C180</f>
        <v>A</v>
      </c>
      <c r="C180" s="11" t="str">
        <f>'Input - Bookings'!H180</f>
        <v>SG</v>
      </c>
      <c r="D180" s="24" t="str">
        <f>'Input - Bookings'!E180</f>
        <v>065</v>
      </c>
      <c r="E180" s="24" t="str">
        <f>'Input - Bookings'!G180</f>
        <v>HYSTER-YALE LIFT TRUCKS</v>
      </c>
      <c r="F180" s="24" t="str">
        <f>'Input - Bookings'!I180</f>
        <v>H66993</v>
      </c>
      <c r="G180" s="24" t="str">
        <f>'Input - Bookings'!L180</f>
        <v>A3C6</v>
      </c>
      <c r="H180" s="24" t="str">
        <f>'Input - Bookings'!M180</f>
        <v>H5.0UTS6</v>
      </c>
      <c r="I180" s="24" t="str">
        <f>'Input - Bookings'!B180</f>
        <v>USD</v>
      </c>
      <c r="J180" s="13" t="str">
        <f>IF(I180="USD",INDEX('AP Plants'!A:A,MATCH(G180,'AP Plants'!D:D,0)),INDEX('Australia Plants'!A:A,MATCH(G180,'Australia Plants'!D:D,0)))</f>
        <v>Maximal</v>
      </c>
      <c r="K180" s="73">
        <v>1</v>
      </c>
      <c r="L180" s="97">
        <v>37122</v>
      </c>
      <c r="M180" s="97">
        <v>25243.9</v>
      </c>
      <c r="N180" s="99">
        <v>0.21618356255177862</v>
      </c>
      <c r="O180" s="25">
        <f t="shared" si="57"/>
        <v>0.31997467808846503</v>
      </c>
      <c r="P180" s="14">
        <f>IFERROR(IF(OR(B180&amp;C180="PAU",B180&amp;C180="AIN"),VLOOKUP(B180&amp;C180&amp;G180,#REF!,8,0),VLOOKUP(B180&amp;G180,#REF!,8,0)),0)</f>
        <v>0</v>
      </c>
      <c r="Q180" s="15">
        <f t="shared" ref="Q180:Q236" si="72">N180-P180</f>
        <v>0.21618356255177862</v>
      </c>
      <c r="R180" s="16" t="str">
        <f t="shared" si="58"/>
        <v>AOP</v>
      </c>
      <c r="S180" s="17">
        <f t="shared" si="59"/>
        <v>5457.3162347008447</v>
      </c>
      <c r="T180" s="18">
        <f t="shared" si="60"/>
        <v>5457.3162347008447</v>
      </c>
      <c r="U180" s="23">
        <f t="shared" si="55"/>
        <v>25243.9</v>
      </c>
      <c r="Y180" s="8" t="str">
        <f t="shared" si="61"/>
        <v>ASGH66993H5.0UTS6</v>
      </c>
      <c r="Z180" s="8" t="str">
        <f>IF(Y180='Input - Bookings'!S178,"OK","Check")</f>
        <v>Check</v>
      </c>
      <c r="AA180" s="139"/>
      <c r="AB180" s="103"/>
      <c r="AC180" s="103"/>
      <c r="AD180" s="100">
        <v>19398.611534607022</v>
      </c>
      <c r="AE180" s="100"/>
      <c r="AF180" s="8" t="str">
        <f t="array" ref="AF180">_xlfn.XLOOKUP($G180,'AP Plants'!D:D,'AP Plants'!B:B)</f>
        <v>Class 5 NOT BT</v>
      </c>
      <c r="AG180" s="102"/>
      <c r="AH180" s="102">
        <f t="shared" si="65"/>
        <v>19398.611534607022</v>
      </c>
      <c r="AI180" s="44">
        <v>1.4999999999999999E-2</v>
      </c>
      <c r="AJ180" s="15">
        <f>_xlfn.XLOOKUP($AF180,Warranty!B:B,Warranty!E:E)</f>
        <v>5.0000000000000001E-3</v>
      </c>
      <c r="AK180" s="8">
        <f>IF($I180="AUD",VLOOKUP(RIGHT('Wk - Margins'!$G180,3),'AU Freight'!C:G,5,0),0)</f>
        <v>0</v>
      </c>
      <c r="AL180" s="15">
        <f t="shared" si="66"/>
        <v>0</v>
      </c>
      <c r="AM180" s="61">
        <f t="shared" si="70"/>
        <v>19786.583765299158</v>
      </c>
      <c r="AN180" s="63">
        <f t="shared" si="68"/>
        <v>0.21618356255177862</v>
      </c>
      <c r="AQ180" s="147"/>
    </row>
    <row r="181" spans="1:43" ht="14.45" customHeight="1">
      <c r="A181" s="10" t="str">
        <f>'Input - Bookings'!A181</f>
        <v>10-19</v>
      </c>
      <c r="B181" s="11" t="str">
        <f>'Input - Bookings'!C181</f>
        <v>A</v>
      </c>
      <c r="C181" s="11" t="str">
        <f>'Input - Bookings'!H181</f>
        <v>SG</v>
      </c>
      <c r="D181" s="24" t="str">
        <f>'Input - Bookings'!E181</f>
        <v>065</v>
      </c>
      <c r="E181" s="24" t="str">
        <f>'Input - Bookings'!G181</f>
        <v>HYSTER-YALE LIFT TRUCKS</v>
      </c>
      <c r="F181" s="146" t="str">
        <f>'Input - Bookings'!I181</f>
        <v>H66989</v>
      </c>
      <c r="G181" s="24" t="str">
        <f>'Input - Bookings'!L181</f>
        <v>A3B1</v>
      </c>
      <c r="H181" s="24" t="str">
        <f>'Input - Bookings'!M181</f>
        <v>P2.0UTS</v>
      </c>
      <c r="I181" s="24" t="str">
        <f>'Input - Bookings'!B181</f>
        <v>USD</v>
      </c>
      <c r="J181" s="13" t="str">
        <f>IF(I181="USD",INDEX('AP Plants'!A:A,MATCH(G181,'AP Plants'!D:D,0)),INDEX('Australia Plants'!A:A,MATCH(G181,'Australia Plants'!D:D,0)))</f>
        <v>Ruyi</v>
      </c>
      <c r="K181" s="73">
        <v>1</v>
      </c>
      <c r="L181" s="97">
        <v>10330</v>
      </c>
      <c r="M181" s="97">
        <v>7211</v>
      </c>
      <c r="N181" s="99">
        <v>0.40635791139165123</v>
      </c>
      <c r="O181" s="25">
        <f t="shared" si="57"/>
        <v>0.30193610842207164</v>
      </c>
      <c r="P181" s="14">
        <f>IFERROR(IF(OR(B181&amp;C181="PAU",B181&amp;C181="AIN"),VLOOKUP(B181&amp;C181&amp;G181,#REF!,8,0),VLOOKUP(B181&amp;G181,#REF!,8,0)),0)</f>
        <v>0</v>
      </c>
      <c r="Q181" s="15">
        <f t="shared" si="72"/>
        <v>0.40635791139165123</v>
      </c>
      <c r="R181" s="16" t="str">
        <f t="shared" si="58"/>
        <v>AOP</v>
      </c>
      <c r="S181" s="17">
        <f t="shared" si="59"/>
        <v>2930.2468990451971</v>
      </c>
      <c r="T181" s="18">
        <f t="shared" si="60"/>
        <v>2930.2468990451971</v>
      </c>
      <c r="U181" s="23">
        <f t="shared" si="55"/>
        <v>7211</v>
      </c>
      <c r="Y181" s="8" t="str">
        <f t="shared" si="61"/>
        <v>ASGH66989P2.0UTS</v>
      </c>
      <c r="Z181" s="8" t="str">
        <f>IF(Y181='Input - Bookings'!S179,"OK","Check")</f>
        <v>Check</v>
      </c>
      <c r="AA181" s="139"/>
      <c r="AB181" s="103"/>
      <c r="AC181" s="103"/>
      <c r="AD181" s="100">
        <f>3956.07097180078+200</f>
        <v>4156.0709718007802</v>
      </c>
      <c r="AE181" s="100"/>
      <c r="AF181" s="8" t="str">
        <f t="array" ref="AF181">_xlfn.XLOOKUP($G181,'AP Plants'!D:D,'AP Plants'!B:B)</f>
        <v>Class 3</v>
      </c>
      <c r="AG181" s="102"/>
      <c r="AH181" s="102">
        <f t="shared" si="65"/>
        <v>4156.0709718007802</v>
      </c>
      <c r="AI181" s="44">
        <v>1.4999999999999999E-2</v>
      </c>
      <c r="AJ181" s="15">
        <f>_xlfn.XLOOKUP($AF181,Warranty!B:B,Warranty!E:E)</f>
        <v>1.4999999999999999E-2</v>
      </c>
      <c r="AK181" s="8">
        <f>IF($I181="AUD",VLOOKUP(RIGHT('Wk - Margins'!$G181,3),'AU Freight'!C:G,5,0),0)</f>
        <v>0</v>
      </c>
      <c r="AL181" s="15">
        <f t="shared" si="66"/>
        <v>0</v>
      </c>
      <c r="AM181" s="61">
        <f t="shared" si="70"/>
        <v>4280.7531009548029</v>
      </c>
      <c r="AN181" s="63">
        <f t="shared" si="68"/>
        <v>0.40635791139165123</v>
      </c>
      <c r="AQ181" s="147"/>
    </row>
    <row r="182" spans="1:43" ht="14.45" customHeight="1">
      <c r="A182" s="10" t="str">
        <f>'Input - Bookings'!A182</f>
        <v>10-19</v>
      </c>
      <c r="B182" s="11" t="str">
        <f>'Input - Bookings'!C182</f>
        <v>A</v>
      </c>
      <c r="C182" s="11" t="str">
        <f>'Input - Bookings'!H182</f>
        <v>SG</v>
      </c>
      <c r="D182" s="24" t="str">
        <f>'Input - Bookings'!E182</f>
        <v>065</v>
      </c>
      <c r="E182" s="24" t="str">
        <f>'Input - Bookings'!G182</f>
        <v>HYSTER-YALE LIFT TRUCKS</v>
      </c>
      <c r="F182" s="146" t="str">
        <f>'Input - Bookings'!I182</f>
        <v>H66990</v>
      </c>
      <c r="G182" s="24" t="str">
        <f>'Input - Bookings'!L182</f>
        <v>A3B1</v>
      </c>
      <c r="H182" s="24" t="str">
        <f>'Input - Bookings'!M182</f>
        <v>P2.0UTS</v>
      </c>
      <c r="I182" s="24" t="str">
        <f>'Input - Bookings'!B182</f>
        <v>USD</v>
      </c>
      <c r="J182" s="13" t="str">
        <f>IF(I182="USD",INDEX('AP Plants'!A:A,MATCH(G182,'AP Plants'!D:D,0)),INDEX('Australia Plants'!A:A,MATCH(G182,'Australia Plants'!D:D,0)))</f>
        <v>Ruyi</v>
      </c>
      <c r="K182" s="73">
        <v>1</v>
      </c>
      <c r="L182" s="97">
        <v>10330</v>
      </c>
      <c r="M182" s="97">
        <v>7211</v>
      </c>
      <c r="N182" s="99">
        <v>0.40635791139165123</v>
      </c>
      <c r="O182" s="25">
        <f t="shared" si="57"/>
        <v>0.30193610842207164</v>
      </c>
      <c r="P182" s="14">
        <f>IFERROR(IF(OR(B182&amp;C182="PAU",B182&amp;C182="AIN"),VLOOKUP(B182&amp;C182&amp;G182,#REF!,8,0),VLOOKUP(B182&amp;G182,#REF!,8,0)),0)</f>
        <v>0</v>
      </c>
      <c r="Q182" s="15">
        <f t="shared" si="72"/>
        <v>0.40635791139165123</v>
      </c>
      <c r="R182" s="16" t="str">
        <f t="shared" si="58"/>
        <v>AOP</v>
      </c>
      <c r="S182" s="17">
        <f t="shared" si="59"/>
        <v>2930.2468990451971</v>
      </c>
      <c r="T182" s="18">
        <f t="shared" si="60"/>
        <v>2930.2468990451971</v>
      </c>
      <c r="U182" s="23">
        <f t="shared" si="55"/>
        <v>7211</v>
      </c>
      <c r="Y182" s="8" t="str">
        <f t="shared" si="61"/>
        <v>ASGH66990P2.0UTS</v>
      </c>
      <c r="Z182" s="8" t="str">
        <f>IF(Y182='Input - Bookings'!S180,"OK","Check")</f>
        <v>Check</v>
      </c>
      <c r="AA182" s="139"/>
      <c r="AB182" s="103"/>
      <c r="AC182" s="103"/>
      <c r="AD182" s="100">
        <f>3956.07097180078+200</f>
        <v>4156.0709718007802</v>
      </c>
      <c r="AE182" s="100"/>
      <c r="AF182" s="8" t="str">
        <f t="array" ref="AF182">_xlfn.XLOOKUP($G182,'AP Plants'!D:D,'AP Plants'!B:B)</f>
        <v>Class 3</v>
      </c>
      <c r="AG182" s="102"/>
      <c r="AH182" s="102">
        <f t="shared" si="65"/>
        <v>4156.0709718007802</v>
      </c>
      <c r="AI182" s="44">
        <v>1.4999999999999999E-2</v>
      </c>
      <c r="AJ182" s="15">
        <f>_xlfn.XLOOKUP($AF182,Warranty!B:B,Warranty!E:E)</f>
        <v>1.4999999999999999E-2</v>
      </c>
      <c r="AK182" s="8">
        <f>IF($I182="AUD",VLOOKUP(RIGHT('Wk - Margins'!$G182,3),'AU Freight'!C:G,5,0),0)</f>
        <v>0</v>
      </c>
      <c r="AL182" s="15">
        <f t="shared" si="66"/>
        <v>0</v>
      </c>
      <c r="AM182" s="61">
        <f t="shared" si="70"/>
        <v>4280.7531009548029</v>
      </c>
      <c r="AN182" s="63">
        <f t="shared" si="68"/>
        <v>0.40635791139165123</v>
      </c>
      <c r="AQ182" s="147"/>
    </row>
    <row r="183" spans="1:43" ht="14.45" customHeight="1">
      <c r="A183" s="10" t="str">
        <f>'Input - Bookings'!A183</f>
        <v>10-19</v>
      </c>
      <c r="B183" s="11" t="str">
        <f>'Input - Bookings'!C183</f>
        <v>A</v>
      </c>
      <c r="C183" s="11" t="str">
        <f>'Input - Bookings'!H183</f>
        <v>SG</v>
      </c>
      <c r="D183" s="24" t="str">
        <f>'Input - Bookings'!E183</f>
        <v>065</v>
      </c>
      <c r="E183" s="24" t="str">
        <f>'Input - Bookings'!G183</f>
        <v>HYSTER-YALE LIFT TRUCKS</v>
      </c>
      <c r="F183" s="146" t="str">
        <f>'Input - Bookings'!I183</f>
        <v>H66991</v>
      </c>
      <c r="G183" s="24" t="str">
        <f>'Input - Bookings'!L183</f>
        <v>A3B1</v>
      </c>
      <c r="H183" s="24" t="str">
        <f>'Input - Bookings'!M183</f>
        <v>P2.0UTS</v>
      </c>
      <c r="I183" s="24" t="str">
        <f>'Input - Bookings'!B183</f>
        <v>USD</v>
      </c>
      <c r="J183" s="13" t="str">
        <f>IF(I183="USD",INDEX('AP Plants'!A:A,MATCH(G183,'AP Plants'!D:D,0)),INDEX('Australia Plants'!A:A,MATCH(G183,'Australia Plants'!D:D,0)))</f>
        <v>Ruyi</v>
      </c>
      <c r="K183" s="73">
        <v>1</v>
      </c>
      <c r="L183" s="97">
        <v>10330</v>
      </c>
      <c r="M183" s="97">
        <v>7211</v>
      </c>
      <c r="N183" s="99">
        <v>0.40635791139165123</v>
      </c>
      <c r="O183" s="25">
        <f t="shared" si="57"/>
        <v>0.30193610842207164</v>
      </c>
      <c r="P183" s="14">
        <f>IFERROR(IF(OR(B183&amp;C183="PAU",B183&amp;C183="AIN"),VLOOKUP(B183&amp;C183&amp;G183,#REF!,8,0),VLOOKUP(B183&amp;G183,#REF!,8,0)),0)</f>
        <v>0</v>
      </c>
      <c r="Q183" s="15">
        <f t="shared" si="72"/>
        <v>0.40635791139165123</v>
      </c>
      <c r="R183" s="16" t="str">
        <f t="shared" si="58"/>
        <v>AOP</v>
      </c>
      <c r="S183" s="17">
        <f t="shared" si="59"/>
        <v>2930.2468990451971</v>
      </c>
      <c r="T183" s="18">
        <f t="shared" si="60"/>
        <v>2930.2468990451971</v>
      </c>
      <c r="U183" s="23">
        <f t="shared" si="55"/>
        <v>7211</v>
      </c>
      <c r="Y183" s="8" t="str">
        <f t="shared" si="61"/>
        <v>ASGH66991P2.0UTS</v>
      </c>
      <c r="Z183" s="8" t="str">
        <f>IF(Y183='Input - Bookings'!S181,"OK","Check")</f>
        <v>Check</v>
      </c>
      <c r="AA183" s="139"/>
      <c r="AB183" s="103"/>
      <c r="AC183" s="103"/>
      <c r="AD183" s="100">
        <f>3956.07097180078+200</f>
        <v>4156.0709718007802</v>
      </c>
      <c r="AE183" s="100"/>
      <c r="AF183" s="8" t="str">
        <f t="array" ref="AF183">_xlfn.XLOOKUP($G183,'AP Plants'!D:D,'AP Plants'!B:B)</f>
        <v>Class 3</v>
      </c>
      <c r="AG183" s="102"/>
      <c r="AH183" s="102">
        <f t="shared" si="65"/>
        <v>4156.0709718007802</v>
      </c>
      <c r="AI183" s="44">
        <v>1.4999999999999999E-2</v>
      </c>
      <c r="AJ183" s="15">
        <f>_xlfn.XLOOKUP($AF183,Warranty!B:B,Warranty!E:E)</f>
        <v>1.4999999999999999E-2</v>
      </c>
      <c r="AK183" s="8">
        <f>IF($I183="AUD",VLOOKUP(RIGHT('Wk - Margins'!$G183,3),'AU Freight'!C:G,5,0),0)</f>
        <v>0</v>
      </c>
      <c r="AL183" s="15">
        <f t="shared" si="66"/>
        <v>0</v>
      </c>
      <c r="AM183" s="61">
        <f t="shared" si="70"/>
        <v>4280.7531009548029</v>
      </c>
      <c r="AN183" s="63">
        <f t="shared" si="68"/>
        <v>0.40635791139165123</v>
      </c>
      <c r="AQ183" s="147"/>
    </row>
    <row r="184" spans="1:43" ht="14.45" customHeight="1">
      <c r="A184" s="10" t="str">
        <f>'Input - Bookings'!A184</f>
        <v>10-19</v>
      </c>
      <c r="B184" s="11" t="str">
        <f>'Input - Bookings'!C184</f>
        <v>A</v>
      </c>
      <c r="C184" s="11" t="str">
        <f>'Input - Bookings'!H184</f>
        <v>SG</v>
      </c>
      <c r="D184" s="24" t="str">
        <f>'Input - Bookings'!E184</f>
        <v>065</v>
      </c>
      <c r="E184" s="24" t="str">
        <f>'Input - Bookings'!G184</f>
        <v>HYSTER-YALE LIFT TRUCKS</v>
      </c>
      <c r="F184" s="146" t="str">
        <f>'Input - Bookings'!I184</f>
        <v>H66992</v>
      </c>
      <c r="G184" s="24" t="str">
        <f>'Input - Bookings'!L184</f>
        <v>A3B1</v>
      </c>
      <c r="H184" s="24" t="str">
        <f>'Input - Bookings'!M184</f>
        <v>P2.0UTS</v>
      </c>
      <c r="I184" s="24" t="str">
        <f>'Input - Bookings'!B184</f>
        <v>USD</v>
      </c>
      <c r="J184" s="13" t="str">
        <f>IF(I184="USD",INDEX('AP Plants'!A:A,MATCH(G184,'AP Plants'!D:D,0)),INDEX('Australia Plants'!A:A,MATCH(G184,'Australia Plants'!D:D,0)))</f>
        <v>Ruyi</v>
      </c>
      <c r="K184" s="73">
        <v>1</v>
      </c>
      <c r="L184" s="97">
        <v>10330</v>
      </c>
      <c r="M184" s="97">
        <v>7211</v>
      </c>
      <c r="N184" s="99">
        <v>0.40635791139165123</v>
      </c>
      <c r="O184" s="25">
        <f t="shared" si="57"/>
        <v>0.30193610842207164</v>
      </c>
      <c r="P184" s="14">
        <f>IFERROR(IF(OR(B184&amp;C184="PAU",B184&amp;C184="AIN"),VLOOKUP(B184&amp;C184&amp;G184,#REF!,8,0),VLOOKUP(B184&amp;G184,#REF!,8,0)),0)</f>
        <v>0</v>
      </c>
      <c r="Q184" s="15">
        <f t="shared" si="72"/>
        <v>0.40635791139165123</v>
      </c>
      <c r="R184" s="16" t="str">
        <f t="shared" si="58"/>
        <v>AOP</v>
      </c>
      <c r="S184" s="17">
        <f t="shared" si="59"/>
        <v>2930.2468990451971</v>
      </c>
      <c r="T184" s="18">
        <f t="shared" si="60"/>
        <v>2930.2468990451971</v>
      </c>
      <c r="U184" s="23">
        <f t="shared" si="55"/>
        <v>7211</v>
      </c>
      <c r="Y184" s="8" t="str">
        <f t="shared" si="61"/>
        <v>ASGH66992P2.0UTS</v>
      </c>
      <c r="Z184" s="8" t="str">
        <f>IF(Y184='Input - Bookings'!S182,"OK","Check")</f>
        <v>Check</v>
      </c>
      <c r="AA184" s="139"/>
      <c r="AB184" s="103"/>
      <c r="AC184" s="103"/>
      <c r="AD184" s="100">
        <f>3956.07097180078+200</f>
        <v>4156.0709718007802</v>
      </c>
      <c r="AE184" s="100"/>
      <c r="AF184" s="8" t="str">
        <f t="array" ref="AF184">_xlfn.XLOOKUP($G184,'AP Plants'!D:D,'AP Plants'!B:B)</f>
        <v>Class 3</v>
      </c>
      <c r="AG184" s="102"/>
      <c r="AH184" s="102">
        <f t="shared" si="65"/>
        <v>4156.0709718007802</v>
      </c>
      <c r="AI184" s="44">
        <v>1.4999999999999999E-2</v>
      </c>
      <c r="AJ184" s="15">
        <f>_xlfn.XLOOKUP($AF184,Warranty!B:B,Warranty!E:E)</f>
        <v>1.4999999999999999E-2</v>
      </c>
      <c r="AK184" s="8">
        <f>IF($I184="AUD",VLOOKUP(RIGHT('Wk - Margins'!$G184,3),'AU Freight'!C:G,5,0),0)</f>
        <v>0</v>
      </c>
      <c r="AL184" s="15">
        <f t="shared" si="66"/>
        <v>0</v>
      </c>
      <c r="AM184" s="61">
        <f t="shared" si="70"/>
        <v>4280.7531009548029</v>
      </c>
      <c r="AN184" s="63">
        <f t="shared" si="68"/>
        <v>0.40635791139165123</v>
      </c>
      <c r="AQ184" s="147"/>
    </row>
    <row r="185" spans="1:43">
      <c r="A185" s="10" t="str">
        <f>'Input - Bookings'!A185</f>
        <v>10-19</v>
      </c>
      <c r="B185" s="11" t="str">
        <f>'Input - Bookings'!C185</f>
        <v>A</v>
      </c>
      <c r="C185" s="11" t="str">
        <f>'Input - Bookings'!H185</f>
        <v>TH</v>
      </c>
      <c r="D185" s="24" t="str">
        <f>'Input - Bookings'!E185</f>
        <v>067</v>
      </c>
      <c r="E185" s="24" t="str">
        <f>'Input - Bookings'!G185</f>
        <v>JENBUNJERD CO LTD</v>
      </c>
      <c r="F185" s="146" t="str">
        <f>'Input - Bookings'!I185</f>
        <v>H67315</v>
      </c>
      <c r="G185" s="24" t="str">
        <f>'Input - Bookings'!L185</f>
        <v>A7S4</v>
      </c>
      <c r="H185" s="24" t="str">
        <f>'Input - Bookings'!M185</f>
        <v>ERP25UX</v>
      </c>
      <c r="I185" s="24" t="str">
        <f>'Input - Bookings'!B185</f>
        <v>USD</v>
      </c>
      <c r="J185" s="13" t="str">
        <f>IF(I185="USD",INDEX('AP Plants'!A:A,MATCH(G185,'AP Plants'!D:D,0)),INDEX('Australia Plants'!A:A,MATCH(G185,'Australia Plants'!D:D,0)))</f>
        <v>Maximal</v>
      </c>
      <c r="K185" s="73">
        <v>1</v>
      </c>
      <c r="L185" s="97">
        <v>28191</v>
      </c>
      <c r="M185" s="97">
        <v>20502.765000000003</v>
      </c>
      <c r="N185" s="99">
        <v>0.16912402025282669</v>
      </c>
      <c r="O185" s="25">
        <f t="shared" si="57"/>
        <v>0.27271948494200271</v>
      </c>
      <c r="P185" s="14">
        <f>IFERROR(IF(OR(B185&amp;C185="PAU",B185&amp;C185="AIN"),VLOOKUP(B185&amp;C185&amp;G185,#REF!,8,0),VLOOKUP(B185&amp;G185,#REF!,8,0)),0)</f>
        <v>0</v>
      </c>
      <c r="Q185" s="15">
        <f t="shared" si="72"/>
        <v>0.16912402025282669</v>
      </c>
      <c r="R185" s="16" t="str">
        <f t="shared" si="58"/>
        <v>AOP</v>
      </c>
      <c r="S185" s="17">
        <f t="shared" si="59"/>
        <v>3467.5100430989469</v>
      </c>
      <c r="T185" s="18">
        <f t="shared" si="60"/>
        <v>3467.5100430989469</v>
      </c>
      <c r="U185" s="23">
        <f t="shared" si="55"/>
        <v>20502.765000000003</v>
      </c>
      <c r="Y185" s="8" t="str">
        <f t="shared" si="61"/>
        <v>ATHH67315ERP25UX</v>
      </c>
      <c r="Z185" s="8" t="str">
        <f>IF(Y185='Input - Bookings'!S183,"OK","Check")</f>
        <v>Check</v>
      </c>
      <c r="AA185" s="139"/>
      <c r="AB185" s="103"/>
      <c r="AC185" s="103"/>
      <c r="AD185" s="100">
        <f>16501.230349903+200</f>
        <v>16701.230349902999</v>
      </c>
      <c r="AE185" s="100"/>
      <c r="AF185" s="8" t="str">
        <f t="array" ref="AF185">_xlfn.XLOOKUP($G185,'AP Plants'!D:D,'AP Plants'!B:B)</f>
        <v>Class 1</v>
      </c>
      <c r="AG185" s="102"/>
      <c r="AH185" s="102">
        <f t="shared" si="65"/>
        <v>16701.230349902999</v>
      </c>
      <c r="AI185" s="44">
        <v>1.4999999999999999E-2</v>
      </c>
      <c r="AJ185" s="15">
        <f>_xlfn.XLOOKUP($AF185,Warranty!B:B,Warranty!E:E)</f>
        <v>5.0000000000000001E-3</v>
      </c>
      <c r="AK185" s="8">
        <f>IF($I185="AUD",VLOOKUP(RIGHT('Wk - Margins'!$G185,3),'AU Freight'!C:G,5,0),0)</f>
        <v>0</v>
      </c>
      <c r="AL185" s="15">
        <f t="shared" si="66"/>
        <v>0</v>
      </c>
      <c r="AM185" s="61">
        <f t="shared" si="70"/>
        <v>17035.254956901055</v>
      </c>
      <c r="AN185" s="63">
        <f t="shared" si="68"/>
        <v>0.16912402025282669</v>
      </c>
      <c r="AQ185" s="147"/>
    </row>
    <row r="186" spans="1:43">
      <c r="A186" s="10" t="str">
        <f>'Input - Bookings'!A186</f>
        <v>10-21</v>
      </c>
      <c r="B186" s="11" t="str">
        <f>'Input - Bookings'!C186</f>
        <v>A</v>
      </c>
      <c r="C186" s="11" t="str">
        <f>'Input - Bookings'!H186</f>
        <v>TH</v>
      </c>
      <c r="D186" s="24" t="str">
        <f>'Input - Bookings'!E186</f>
        <v>065</v>
      </c>
      <c r="E186" s="24" t="str">
        <f>'Input - Bookings'!G186</f>
        <v>DILOK AND SONS CO.,LTD.</v>
      </c>
      <c r="F186" s="24" t="str">
        <f>'Input - Bookings'!I186</f>
        <v>H67498</v>
      </c>
      <c r="G186" s="24" t="str">
        <f>'Input - Bookings'!L186</f>
        <v>A3C4</v>
      </c>
      <c r="H186" s="24" t="str">
        <f>'Input - Bookings'!M186</f>
        <v>J2.5UT</v>
      </c>
      <c r="I186" s="24" t="str">
        <f>'Input - Bookings'!B186</f>
        <v>USD</v>
      </c>
      <c r="J186" s="13" t="str">
        <f>IF(I186="USD",INDEX('AP Plants'!A:A,MATCH(G186,'AP Plants'!D:D,0)),INDEX('Australia Plants'!A:A,MATCH(G186,'Australia Plants'!D:D,0)))</f>
        <v>Maximal</v>
      </c>
      <c r="K186" s="73">
        <v>1</v>
      </c>
      <c r="L186" s="97">
        <v>21010</v>
      </c>
      <c r="M186" s="97">
        <v>14703.35</v>
      </c>
      <c r="N186" s="99">
        <v>0.14411301622787154</v>
      </c>
      <c r="O186" s="25">
        <f t="shared" si="57"/>
        <v>0.30017372679676346</v>
      </c>
      <c r="P186" s="14">
        <f>IFERROR(IF(OR(B186&amp;C186="PAU",B186&amp;C186="AIN"),VLOOKUP(B186&amp;C186&amp;G186,#REF!,8,0),VLOOKUP(B186&amp;G186,#REF!,8,0)),0)</f>
        <v>0</v>
      </c>
      <c r="Q186" s="15">
        <f t="shared" si="72"/>
        <v>0.14411301622787154</v>
      </c>
      <c r="R186" s="16" t="str">
        <f t="shared" si="58"/>
        <v>AOP</v>
      </c>
      <c r="S186" s="17">
        <f t="shared" si="59"/>
        <v>2118.9441171540752</v>
      </c>
      <c r="T186" s="18">
        <f t="shared" si="60"/>
        <v>2118.9441171540752</v>
      </c>
      <c r="U186" s="23">
        <f t="shared" si="55"/>
        <v>14703.35</v>
      </c>
      <c r="Y186" s="8" t="str">
        <f t="shared" si="61"/>
        <v>ATHH67498J2.5UT</v>
      </c>
      <c r="Z186" s="8" t="str">
        <f>IF(Y186='Input - Bookings'!S184,"OK","Check")</f>
        <v>Check</v>
      </c>
      <c r="AA186" s="139"/>
      <c r="AB186" s="103"/>
      <c r="AC186" s="103"/>
      <c r="AD186" s="100">
        <v>12337.652826319538</v>
      </c>
      <c r="AE186" s="100"/>
      <c r="AF186" s="8" t="str">
        <f t="array" ref="AF186">_xlfn.XLOOKUP($G186,'AP Plants'!D:D,'AP Plants'!B:B)</f>
        <v>Class 1</v>
      </c>
      <c r="AG186" s="102"/>
      <c r="AH186" s="102">
        <f t="shared" si="65"/>
        <v>12337.652826319538</v>
      </c>
      <c r="AI186" s="44">
        <v>1.4999999999999999E-2</v>
      </c>
      <c r="AJ186" s="15">
        <f>_xlfn.XLOOKUP($AF186,Warranty!B:B,Warranty!E:E)</f>
        <v>5.0000000000000001E-3</v>
      </c>
      <c r="AK186" s="8">
        <f>IF($I186="AUD",VLOOKUP(RIGHT('Wk - Margins'!$G186,3),'AU Freight'!C:G,5,0),0)</f>
        <v>0</v>
      </c>
      <c r="AL186" s="15">
        <f t="shared" si="66"/>
        <v>0</v>
      </c>
      <c r="AM186" s="61">
        <f t="shared" si="70"/>
        <v>12584.405882845926</v>
      </c>
      <c r="AN186" s="63">
        <f t="shared" si="68"/>
        <v>0.14411301622787154</v>
      </c>
      <c r="AQ186" s="147"/>
    </row>
    <row r="187" spans="1:43">
      <c r="A187" s="10" t="str">
        <f>'Input - Bookings'!A187</f>
        <v>10-21</v>
      </c>
      <c r="B187" s="11" t="str">
        <f>'Input - Bookings'!C187</f>
        <v>A</v>
      </c>
      <c r="C187" s="11" t="str">
        <f>'Input - Bookings'!H187</f>
        <v>TH</v>
      </c>
      <c r="D187" s="24" t="str">
        <f>'Input - Bookings'!E187</f>
        <v>065</v>
      </c>
      <c r="E187" s="24" t="str">
        <f>'Input - Bookings'!G187</f>
        <v>DILOK AND SONS CO.,LTD.</v>
      </c>
      <c r="F187" s="24" t="str">
        <f>'Input - Bookings'!I187</f>
        <v>H67499</v>
      </c>
      <c r="G187" s="24" t="str">
        <f>'Input - Bookings'!L187</f>
        <v>A3C4</v>
      </c>
      <c r="H187" s="24" t="str">
        <f>'Input - Bookings'!M187</f>
        <v>J2.5UT</v>
      </c>
      <c r="I187" s="24" t="str">
        <f>'Input - Bookings'!B187</f>
        <v>USD</v>
      </c>
      <c r="J187" s="13" t="str">
        <f>IF(I187="USD",INDEX('AP Plants'!A:A,MATCH(G187,'AP Plants'!D:D,0)),INDEX('Australia Plants'!A:A,MATCH(G187,'Australia Plants'!D:D,0)))</f>
        <v>Maximal</v>
      </c>
      <c r="K187" s="73">
        <v>1</v>
      </c>
      <c r="L187" s="97">
        <v>21010</v>
      </c>
      <c r="M187" s="97">
        <v>14703.35</v>
      </c>
      <c r="N187" s="99">
        <v>0.14411301622787154</v>
      </c>
      <c r="O187" s="25">
        <f t="shared" si="57"/>
        <v>0.30017372679676346</v>
      </c>
      <c r="P187" s="14">
        <f>IFERROR(IF(OR(B187&amp;C187="PAU",B187&amp;C187="AIN"),VLOOKUP(B187&amp;C187&amp;G187,#REF!,8,0),VLOOKUP(B187&amp;G187,#REF!,8,0)),0)</f>
        <v>0</v>
      </c>
      <c r="Q187" s="15">
        <f t="shared" si="72"/>
        <v>0.14411301622787154</v>
      </c>
      <c r="R187" s="16" t="str">
        <f t="shared" si="58"/>
        <v>AOP</v>
      </c>
      <c r="S187" s="17">
        <f t="shared" si="59"/>
        <v>2118.9441171540752</v>
      </c>
      <c r="T187" s="18">
        <f t="shared" si="60"/>
        <v>2118.9441171540752</v>
      </c>
      <c r="U187" s="23">
        <f t="shared" si="55"/>
        <v>14703.35</v>
      </c>
      <c r="Y187" s="8" t="str">
        <f t="shared" si="61"/>
        <v>ATHH67499J2.5UT</v>
      </c>
      <c r="Z187" s="8" t="str">
        <f>IF(Y187='Input - Bookings'!S185,"OK","Check")</f>
        <v>Check</v>
      </c>
      <c r="AA187" s="139"/>
      <c r="AB187" s="103"/>
      <c r="AC187" s="103"/>
      <c r="AD187" s="100">
        <v>12337.652826319538</v>
      </c>
      <c r="AE187" s="100"/>
      <c r="AF187" s="8" t="str">
        <f t="array" ref="AF187">_xlfn.XLOOKUP($G187,'AP Plants'!D:D,'AP Plants'!B:B)</f>
        <v>Class 1</v>
      </c>
      <c r="AG187" s="102"/>
      <c r="AH187" s="102">
        <f t="shared" si="65"/>
        <v>12337.652826319538</v>
      </c>
      <c r="AI187" s="44">
        <v>1.4999999999999999E-2</v>
      </c>
      <c r="AJ187" s="15">
        <f>_xlfn.XLOOKUP($AF187,Warranty!B:B,Warranty!E:E)</f>
        <v>5.0000000000000001E-3</v>
      </c>
      <c r="AK187" s="8">
        <f>IF($I187="AUD",VLOOKUP(RIGHT('Wk - Margins'!$G187,3),'AU Freight'!C:G,5,0),0)</f>
        <v>0</v>
      </c>
      <c r="AL187" s="15">
        <f t="shared" si="66"/>
        <v>0</v>
      </c>
      <c r="AM187" s="61">
        <f t="shared" si="70"/>
        <v>12584.405882845926</v>
      </c>
      <c r="AN187" s="63">
        <f t="shared" si="68"/>
        <v>0.14411301622787154</v>
      </c>
      <c r="AQ187" s="147"/>
    </row>
    <row r="188" spans="1:43">
      <c r="A188" s="10" t="str">
        <f>'Input - Bookings'!A188</f>
        <v>10-21</v>
      </c>
      <c r="B188" s="11" t="str">
        <f>'Input - Bookings'!C188</f>
        <v>A</v>
      </c>
      <c r="C188" s="11" t="str">
        <f>'Input - Bookings'!H188</f>
        <v>TH</v>
      </c>
      <c r="D188" s="24" t="str">
        <f>'Input - Bookings'!E188</f>
        <v>065</v>
      </c>
      <c r="E188" s="24" t="str">
        <f>'Input - Bookings'!G188</f>
        <v>DILOK AND SONS CO.,LTD.</v>
      </c>
      <c r="F188" s="24" t="str">
        <f>'Input - Bookings'!I188</f>
        <v>H67500</v>
      </c>
      <c r="G188" s="24" t="str">
        <f>'Input - Bookings'!L188</f>
        <v>A3C4</v>
      </c>
      <c r="H188" s="24" t="str">
        <f>'Input - Bookings'!M188</f>
        <v>J2.5UT</v>
      </c>
      <c r="I188" s="24" t="str">
        <f>'Input - Bookings'!B188</f>
        <v>USD</v>
      </c>
      <c r="J188" s="13" t="str">
        <f>IF(I188="USD",INDEX('AP Plants'!A:A,MATCH(G188,'AP Plants'!D:D,0)),INDEX('Australia Plants'!A:A,MATCH(G188,'Australia Plants'!D:D,0)))</f>
        <v>Maximal</v>
      </c>
      <c r="K188" s="73">
        <v>1</v>
      </c>
      <c r="L188" s="97">
        <v>21010</v>
      </c>
      <c r="M188" s="97">
        <v>14703.35</v>
      </c>
      <c r="N188" s="99">
        <v>0.14411301622787154</v>
      </c>
      <c r="O188" s="25">
        <f t="shared" si="57"/>
        <v>0.30017372679676346</v>
      </c>
      <c r="P188" s="14">
        <f>IFERROR(IF(OR(B188&amp;C188="PAU",B188&amp;C188="AIN"),VLOOKUP(B188&amp;C188&amp;G188,#REF!,8,0),VLOOKUP(B188&amp;G188,#REF!,8,0)),0)</f>
        <v>0</v>
      </c>
      <c r="Q188" s="15">
        <f t="shared" si="72"/>
        <v>0.14411301622787154</v>
      </c>
      <c r="R188" s="16" t="str">
        <f t="shared" si="58"/>
        <v>AOP</v>
      </c>
      <c r="S188" s="17">
        <f t="shared" si="59"/>
        <v>2118.9441171540752</v>
      </c>
      <c r="T188" s="18">
        <f t="shared" si="60"/>
        <v>2118.9441171540752</v>
      </c>
      <c r="U188" s="23">
        <f t="shared" si="55"/>
        <v>14703.35</v>
      </c>
      <c r="Y188" s="8" t="str">
        <f t="shared" si="61"/>
        <v>ATHH67500J2.5UT</v>
      </c>
      <c r="Z188" s="8" t="str">
        <f>IF(Y188='Input - Bookings'!Q185,"OK","Check")</f>
        <v>Check</v>
      </c>
      <c r="AA188" s="139"/>
      <c r="AB188" s="103"/>
      <c r="AC188" s="103"/>
      <c r="AD188" s="100">
        <v>12337.652826319538</v>
      </c>
      <c r="AE188" s="100"/>
      <c r="AF188" s="8" t="str">
        <f t="array" ref="AF188">_xlfn.XLOOKUP($G188,'AP Plants'!D:D,'AP Plants'!B:B)</f>
        <v>Class 1</v>
      </c>
      <c r="AG188" s="102"/>
      <c r="AH188" s="102">
        <f t="shared" si="65"/>
        <v>12337.652826319538</v>
      </c>
      <c r="AI188" s="44">
        <v>1.4999999999999999E-2</v>
      </c>
      <c r="AJ188" s="15">
        <f>_xlfn.XLOOKUP($AF188,Warranty!B:B,Warranty!E:E)</f>
        <v>5.0000000000000001E-3</v>
      </c>
      <c r="AK188" s="8">
        <f>IF($I188="AUD",VLOOKUP(RIGHT('Wk - Margins'!$G188,3),'AU Freight'!C:G,5,0),0)</f>
        <v>0</v>
      </c>
      <c r="AL188" s="15">
        <f t="shared" si="66"/>
        <v>0</v>
      </c>
      <c r="AM188" s="61">
        <f t="shared" si="70"/>
        <v>12584.405882845926</v>
      </c>
      <c r="AN188" s="63">
        <f t="shared" si="68"/>
        <v>0.14411301622787154</v>
      </c>
      <c r="AQ188" s="147"/>
    </row>
    <row r="189" spans="1:43">
      <c r="A189" s="10" t="str">
        <f>'Input - Bookings'!A189</f>
        <v>10-21</v>
      </c>
      <c r="B189" s="11" t="str">
        <f>'Input - Bookings'!C189</f>
        <v>A</v>
      </c>
      <c r="C189" s="11" t="str">
        <f>'Input - Bookings'!H189</f>
        <v>TH</v>
      </c>
      <c r="D189" s="24" t="str">
        <f>'Input - Bookings'!E189</f>
        <v>065</v>
      </c>
      <c r="E189" s="24" t="str">
        <f>'Input - Bookings'!G189</f>
        <v>DILOK AND SONS CO.,LTD.</v>
      </c>
      <c r="F189" s="24" t="str">
        <f>'Input - Bookings'!I189</f>
        <v>H67501</v>
      </c>
      <c r="G189" s="24" t="str">
        <f>'Input - Bookings'!L189</f>
        <v>A3C4</v>
      </c>
      <c r="H189" s="24" t="str">
        <f>'Input - Bookings'!M189</f>
        <v>J2.5UT</v>
      </c>
      <c r="I189" s="24" t="str">
        <f>'Input - Bookings'!B189</f>
        <v>USD</v>
      </c>
      <c r="J189" s="13" t="str">
        <f>IF(I189="USD",INDEX('AP Plants'!A:A,MATCH(G189,'AP Plants'!D:D,0)),INDEX('Australia Plants'!A:A,MATCH(G189,'Australia Plants'!D:D,0)))</f>
        <v>Maximal</v>
      </c>
      <c r="K189" s="73">
        <v>1</v>
      </c>
      <c r="L189" s="97">
        <v>21010</v>
      </c>
      <c r="M189" s="97">
        <v>14703.35</v>
      </c>
      <c r="N189" s="99">
        <v>0.14411301622787154</v>
      </c>
      <c r="O189" s="25">
        <f t="shared" si="57"/>
        <v>0.30017372679676346</v>
      </c>
      <c r="P189" s="14">
        <f>IFERROR(IF(OR(B189&amp;C189="PAU",B189&amp;C189="AIN"),VLOOKUP(B189&amp;C189&amp;G189,#REF!,8,0),VLOOKUP(B189&amp;G189,#REF!,8,0)),0)</f>
        <v>0</v>
      </c>
      <c r="Q189" s="15">
        <f t="shared" si="72"/>
        <v>0.14411301622787154</v>
      </c>
      <c r="R189" s="16" t="str">
        <f t="shared" si="58"/>
        <v>AOP</v>
      </c>
      <c r="S189" s="17">
        <f t="shared" si="59"/>
        <v>2118.9441171540752</v>
      </c>
      <c r="T189" s="18">
        <f t="shared" si="60"/>
        <v>2118.9441171540752</v>
      </c>
      <c r="U189" s="23">
        <f t="shared" si="55"/>
        <v>14703.35</v>
      </c>
      <c r="Y189" s="8" t="str">
        <f t="shared" si="61"/>
        <v>ATHH67501J2.5UT</v>
      </c>
      <c r="Z189" s="8" t="str">
        <f>IF(Y189='Input - Bookings'!S186,"OK","Check")</f>
        <v>Check</v>
      </c>
      <c r="AA189" s="139"/>
      <c r="AB189" s="103"/>
      <c r="AC189" s="103"/>
      <c r="AD189" s="100">
        <v>12337.652826319538</v>
      </c>
      <c r="AE189" s="100"/>
      <c r="AF189" s="8" t="str">
        <f t="array" ref="AF189">_xlfn.XLOOKUP($G189,'AP Plants'!D:D,'AP Plants'!B:B)</f>
        <v>Class 1</v>
      </c>
      <c r="AG189" s="102"/>
      <c r="AH189" s="102">
        <f t="shared" si="65"/>
        <v>12337.652826319538</v>
      </c>
      <c r="AI189" s="44">
        <v>1.4999999999999999E-2</v>
      </c>
      <c r="AJ189" s="15">
        <f>_xlfn.XLOOKUP($AF189,Warranty!B:B,Warranty!E:E)</f>
        <v>5.0000000000000001E-3</v>
      </c>
      <c r="AK189" s="8">
        <f>IF($I189="AUD",VLOOKUP(RIGHT('Wk - Margins'!$G189,3),'AU Freight'!C:G,5,0),0)</f>
        <v>0</v>
      </c>
      <c r="AL189" s="15">
        <f t="shared" si="66"/>
        <v>0</v>
      </c>
      <c r="AM189" s="61">
        <f t="shared" si="70"/>
        <v>12584.405882845926</v>
      </c>
      <c r="AN189" s="63">
        <f t="shared" si="68"/>
        <v>0.14411301622787154</v>
      </c>
      <c r="AQ189" s="147"/>
    </row>
    <row r="190" spans="1:43">
      <c r="A190" s="10" t="str">
        <f>'Input - Bookings'!A190</f>
        <v>10-22</v>
      </c>
      <c r="B190" s="11" t="str">
        <f>'Input - Bookings'!C190</f>
        <v>A</v>
      </c>
      <c r="C190" s="11" t="str">
        <f>'Input - Bookings'!H190</f>
        <v>KR</v>
      </c>
      <c r="D190" s="24" t="str">
        <f>'Input - Bookings'!E190</f>
        <v>065</v>
      </c>
      <c r="E190" s="24" t="str">
        <f>'Input - Bookings'!G190</f>
        <v>HYSTER KOREA INC.</v>
      </c>
      <c r="F190" s="24" t="str">
        <f>'Input - Bookings'!I190</f>
        <v>H67502</v>
      </c>
      <c r="G190" s="24" t="str">
        <f>'Input - Bookings'!L190</f>
        <v>C225</v>
      </c>
      <c r="H190" s="24" t="str">
        <f>'Input - Bookings'!M190</f>
        <v>J2.5GX</v>
      </c>
      <c r="I190" s="24" t="str">
        <f>'Input - Bookings'!B190</f>
        <v>USD</v>
      </c>
      <c r="J190" s="13" t="str">
        <f>IF(I190="USD",INDEX('AP Plants'!A:A,MATCH(G190,'AP Plants'!D:D,0)),INDEX('Australia Plants'!A:A,MATCH(G190,'Australia Plants'!D:D,0)))</f>
        <v>SN</v>
      </c>
      <c r="K190" s="73">
        <v>1</v>
      </c>
      <c r="L190" s="97">
        <v>31245</v>
      </c>
      <c r="M190" s="97">
        <v>18501.95</v>
      </c>
      <c r="N190" s="99">
        <v>0.17652670050488095</v>
      </c>
      <c r="O190" s="25">
        <f t="shared" si="57"/>
        <v>0.40784285485677707</v>
      </c>
      <c r="P190" s="14">
        <f>IFERROR(IF(OR(B190&amp;C190="PAU",B190&amp;C190="AIN"),VLOOKUP(B190&amp;C190&amp;G190,#REF!,8,0),VLOOKUP(B190&amp;G190,#REF!,8,0)),0)</f>
        <v>0</v>
      </c>
      <c r="Q190" s="15">
        <f t="shared" si="72"/>
        <v>0.17652670050488095</v>
      </c>
      <c r="R190" s="16" t="str">
        <f t="shared" si="58"/>
        <v>AOP</v>
      </c>
      <c r="S190" s="17">
        <f t="shared" si="59"/>
        <v>3266.0881864062821</v>
      </c>
      <c r="T190" s="18">
        <f t="shared" si="60"/>
        <v>3266.0881864062821</v>
      </c>
      <c r="U190" s="23">
        <f t="shared" si="55"/>
        <v>18501.95</v>
      </c>
      <c r="Y190" s="8" t="str">
        <f t="shared" si="61"/>
        <v>AKRH67502J2.5GX</v>
      </c>
      <c r="Z190" s="8" t="str">
        <f>IF(Y190='Input - Bookings'!S187,"OK","Check")</f>
        <v>Check</v>
      </c>
      <c r="AA190" s="139" t="s">
        <v>1224</v>
      </c>
      <c r="AB190" s="103"/>
      <c r="AC190" s="103"/>
      <c r="AD190" s="100">
        <v>14937.119425091885</v>
      </c>
      <c r="AE190" s="100"/>
      <c r="AF190" s="8" t="str">
        <f t="array" ref="AF190">_xlfn.XLOOKUP($G190,'AP Plants'!D:D,'AP Plants'!B:B)</f>
        <v>Class 1</v>
      </c>
      <c r="AG190" s="102"/>
      <c r="AH190" s="102">
        <f t="shared" si="65"/>
        <v>14937.119425091885</v>
      </c>
      <c r="AI190" s="44">
        <v>1.4999999999999999E-2</v>
      </c>
      <c r="AJ190" s="15">
        <f>_xlfn.XLOOKUP($AF190,Warranty!B:B,Warranty!E:E)</f>
        <v>5.0000000000000001E-3</v>
      </c>
      <c r="AK190" s="8">
        <f>IF($I190="AUD",VLOOKUP(RIGHT('Wk - Margins'!$G190,3),'AU Freight'!C:G,5,0),0)</f>
        <v>0</v>
      </c>
      <c r="AL190" s="15">
        <f t="shared" si="66"/>
        <v>0</v>
      </c>
      <c r="AM190" s="61">
        <f t="shared" si="70"/>
        <v>15235.861813593719</v>
      </c>
      <c r="AN190" s="63">
        <f t="shared" si="68"/>
        <v>0.17652670050488095</v>
      </c>
      <c r="AQ190" s="147"/>
    </row>
    <row r="191" spans="1:43">
      <c r="A191" s="10" t="str">
        <f>'Input - Bookings'!A191</f>
        <v>10-22</v>
      </c>
      <c r="B191" s="11" t="str">
        <f>'Input - Bookings'!C191</f>
        <v>A</v>
      </c>
      <c r="C191" s="11" t="str">
        <f>'Input - Bookings'!H191</f>
        <v>KR</v>
      </c>
      <c r="D191" s="24" t="str">
        <f>'Input - Bookings'!E191</f>
        <v>065</v>
      </c>
      <c r="E191" s="24" t="str">
        <f>'Input - Bookings'!G191</f>
        <v>HYSTER KOREA INC.</v>
      </c>
      <c r="F191" s="24" t="str">
        <f>'Input - Bookings'!I191</f>
        <v>H67504</v>
      </c>
      <c r="G191" s="24" t="str">
        <f>'Input - Bookings'!L191</f>
        <v>C225</v>
      </c>
      <c r="H191" s="24" t="str">
        <f>'Input - Bookings'!M191</f>
        <v>J2.5GX</v>
      </c>
      <c r="I191" s="24" t="str">
        <f>'Input - Bookings'!B191</f>
        <v>USD</v>
      </c>
      <c r="J191" s="13" t="str">
        <f>IF(I191="USD",INDEX('AP Plants'!A:A,MATCH(G191,'AP Plants'!D:D,0)),INDEX('Australia Plants'!A:A,MATCH(G191,'Australia Plants'!D:D,0)))</f>
        <v>SN</v>
      </c>
      <c r="K191" s="73">
        <v>1</v>
      </c>
      <c r="L191" s="97">
        <v>31245</v>
      </c>
      <c r="M191" s="97">
        <v>18501.95</v>
      </c>
      <c r="N191" s="99">
        <v>0.17652670050488095</v>
      </c>
      <c r="O191" s="25">
        <f t="shared" si="57"/>
        <v>0.40784285485677707</v>
      </c>
      <c r="P191" s="14">
        <f>IFERROR(IF(OR(B191&amp;C191="PAU",B191&amp;C191="AIN"),VLOOKUP(B191&amp;C191&amp;G191,#REF!,8,0),VLOOKUP(B191&amp;G191,#REF!,8,0)),0)</f>
        <v>0</v>
      </c>
      <c r="Q191" s="15">
        <f t="shared" si="72"/>
        <v>0.17652670050488095</v>
      </c>
      <c r="R191" s="16" t="str">
        <f t="shared" si="58"/>
        <v>AOP</v>
      </c>
      <c r="S191" s="17">
        <f t="shared" si="59"/>
        <v>3266.0881864062821</v>
      </c>
      <c r="T191" s="18">
        <f t="shared" si="60"/>
        <v>3266.0881864062821</v>
      </c>
      <c r="U191" s="23">
        <f t="shared" si="55"/>
        <v>18501.95</v>
      </c>
      <c r="Y191" s="8" t="str">
        <f t="shared" si="61"/>
        <v>AKRH67504J2.5GX</v>
      </c>
      <c r="Z191" s="8" t="str">
        <f>IF(Y191='Input - Bookings'!S188,"OK","Check")</f>
        <v>Check</v>
      </c>
      <c r="AA191" s="139" t="s">
        <v>1224</v>
      </c>
      <c r="AB191" s="103"/>
      <c r="AC191" s="103"/>
      <c r="AD191" s="100">
        <v>14937.119425091885</v>
      </c>
      <c r="AE191" s="100"/>
      <c r="AF191" s="8" t="str">
        <f t="array" ref="AF191">_xlfn.XLOOKUP($G191,'AP Plants'!D:D,'AP Plants'!B:B)</f>
        <v>Class 1</v>
      </c>
      <c r="AG191" s="102"/>
      <c r="AH191" s="102">
        <f t="shared" si="65"/>
        <v>14937.119425091885</v>
      </c>
      <c r="AI191" s="44">
        <v>1.4999999999999999E-2</v>
      </c>
      <c r="AJ191" s="15">
        <f>_xlfn.XLOOKUP($AF191,Warranty!B:B,Warranty!E:E)</f>
        <v>5.0000000000000001E-3</v>
      </c>
      <c r="AK191" s="8">
        <f>IF($I191="AUD",VLOOKUP(RIGHT('Wk - Margins'!$G191,3),'AU Freight'!C:G,5,0),0)</f>
        <v>0</v>
      </c>
      <c r="AL191" s="15">
        <f t="shared" si="66"/>
        <v>0</v>
      </c>
      <c r="AM191" s="61">
        <f t="shared" si="70"/>
        <v>15235.861813593719</v>
      </c>
      <c r="AN191" s="63">
        <f t="shared" si="68"/>
        <v>0.17652670050488095</v>
      </c>
      <c r="AQ191" s="147"/>
    </row>
    <row r="192" spans="1:43">
      <c r="A192" s="10" t="str">
        <f>'Input - Bookings'!A192</f>
        <v>10-22</v>
      </c>
      <c r="B192" s="11" t="str">
        <f>'Input - Bookings'!C192</f>
        <v>A</v>
      </c>
      <c r="C192" s="11" t="str">
        <f>'Input - Bookings'!H192</f>
        <v>KR</v>
      </c>
      <c r="D192" s="24" t="str">
        <f>'Input - Bookings'!E192</f>
        <v>065</v>
      </c>
      <c r="E192" s="24" t="str">
        <f>'Input - Bookings'!G192</f>
        <v>HYSTER KOREA INC.</v>
      </c>
      <c r="F192" s="24" t="str">
        <f>'Input - Bookings'!I192</f>
        <v>H67503</v>
      </c>
      <c r="G192" s="24" t="str">
        <f>'Input - Bookings'!L192</f>
        <v>B925</v>
      </c>
      <c r="H192" s="24" t="str">
        <f>'Input - Bookings'!M192</f>
        <v>R2.50EX  2</v>
      </c>
      <c r="I192" s="24" t="str">
        <f>'Input - Bookings'!B192</f>
        <v>USD</v>
      </c>
      <c r="J192" s="13" t="str">
        <f>IF(I192="USD",INDEX('AP Plants'!A:A,MATCH(G192,'AP Plants'!D:D,0)),INDEX('Australia Plants'!A:A,MATCH(G192,'Australia Plants'!D:D,0)))</f>
        <v>SN</v>
      </c>
      <c r="K192" s="73">
        <v>1</v>
      </c>
      <c r="L192" s="97">
        <v>37385</v>
      </c>
      <c r="M192" s="97">
        <v>22423.225000000002</v>
      </c>
      <c r="N192" s="99">
        <v>0.17369401323542377</v>
      </c>
      <c r="O192" s="25">
        <f t="shared" si="57"/>
        <v>0.40020797111140827</v>
      </c>
      <c r="P192" s="14">
        <f>IFERROR(IF(OR(B192&amp;C192="PAU",B192&amp;C192="AIN"),VLOOKUP(B192&amp;C192&amp;G192,#REF!,8,0),VLOOKUP(B192&amp;G192,#REF!,8,0)),0)</f>
        <v>0</v>
      </c>
      <c r="Q192" s="15">
        <f t="shared" si="72"/>
        <v>0.17369401323542377</v>
      </c>
      <c r="R192" s="16" t="str">
        <f t="shared" si="58"/>
        <v>AOP</v>
      </c>
      <c r="S192" s="17">
        <f t="shared" si="59"/>
        <v>3894.7799399308856</v>
      </c>
      <c r="T192" s="18">
        <f t="shared" si="60"/>
        <v>3894.7799399308856</v>
      </c>
      <c r="U192" s="23">
        <f t="shared" si="55"/>
        <v>22423.225000000002</v>
      </c>
      <c r="Y192" s="8" t="str">
        <f t="shared" si="61"/>
        <v>AKRH67503R2.50EX  2</v>
      </c>
      <c r="Z192" s="8" t="str">
        <f>IF(Y192='Input - Bookings'!S189,"OK","Check")</f>
        <v>Check</v>
      </c>
      <c r="AA192" s="139"/>
      <c r="AB192" s="103"/>
      <c r="AC192" s="103"/>
      <c r="AD192" s="100">
        <v>17988.781611717593</v>
      </c>
      <c r="AE192" s="100"/>
      <c r="AF192" s="8" t="str">
        <f t="array" ref="AF192">_xlfn.XLOOKUP($G192,'AP Plants'!D:D,'AP Plants'!B:B)</f>
        <v>Class 2</v>
      </c>
      <c r="AG192" s="102"/>
      <c r="AH192" s="102">
        <f t="shared" si="65"/>
        <v>17988.781611717593</v>
      </c>
      <c r="AI192" s="44">
        <v>1.4999999999999999E-2</v>
      </c>
      <c r="AJ192" s="15">
        <f>_xlfn.XLOOKUP($AF192,Warranty!B:B,Warranty!E:E)</f>
        <v>1.4999999999999999E-2</v>
      </c>
      <c r="AK192" s="8">
        <f>IF($I192="AUD",VLOOKUP(RIGHT('Wk - Margins'!$G192,3),'AU Freight'!C:G,5,0),0)</f>
        <v>0</v>
      </c>
      <c r="AL192" s="15">
        <f t="shared" si="66"/>
        <v>0</v>
      </c>
      <c r="AM192" s="61">
        <f t="shared" si="70"/>
        <v>18528.445060069116</v>
      </c>
      <c r="AN192" s="63">
        <f t="shared" si="68"/>
        <v>0.17369401323542377</v>
      </c>
      <c r="AQ192" s="147"/>
    </row>
    <row r="193" spans="1:43">
      <c r="A193" s="10" t="str">
        <f>'Input - Bookings'!A193</f>
        <v>10-23</v>
      </c>
      <c r="B193" s="11" t="str">
        <f>'Input - Bookings'!C193</f>
        <v>A</v>
      </c>
      <c r="C193" s="11" t="str">
        <f>'Input - Bookings'!H193</f>
        <v>SG</v>
      </c>
      <c r="D193" s="24" t="str">
        <f>'Input - Bookings'!E193</f>
        <v>065</v>
      </c>
      <c r="E193" s="24" t="str">
        <f>'Input - Bookings'!G193</f>
        <v>HYSTER-YALE LIFT TRUCKS</v>
      </c>
      <c r="F193" s="24" t="str">
        <f>'Input - Bookings'!I193</f>
        <v>H67709</v>
      </c>
      <c r="G193" s="24" t="str">
        <f>'Input - Bookings'!L193</f>
        <v>D466</v>
      </c>
      <c r="H193" s="24" t="str">
        <f>'Input - Bookings'!M193</f>
        <v>H2.5XT</v>
      </c>
      <c r="I193" s="24" t="str">
        <f>'Input - Bookings'!B193</f>
        <v>USD</v>
      </c>
      <c r="J193" s="13" t="str">
        <f>IF(I193="USD",INDEX('AP Plants'!A:A,MATCH(G193,'AP Plants'!D:D,0)),INDEX('Australia Plants'!A:A,MATCH(G193,'Australia Plants'!D:D,0)))</f>
        <v>SN</v>
      </c>
      <c r="K193" s="73">
        <v>1</v>
      </c>
      <c r="L193" s="97">
        <v>44165</v>
      </c>
      <c r="M193" s="97">
        <v>29627.15</v>
      </c>
      <c r="N193" s="99">
        <v>0.38725916580407393</v>
      </c>
      <c r="O193" s="25">
        <f t="shared" si="57"/>
        <v>0.32917128948262198</v>
      </c>
      <c r="P193" s="14">
        <f>IFERROR(IF(OR(B193&amp;C193="PAU",B193&amp;C193="AIN"),VLOOKUP(B193&amp;C193&amp;G193,#REF!,8,0),VLOOKUP(B193&amp;G193,#REF!,8,0)),0)</f>
        <v>0</v>
      </c>
      <c r="Q193" s="15">
        <f t="shared" si="72"/>
        <v>0.38725916580407393</v>
      </c>
      <c r="R193" s="16" t="str">
        <f t="shared" si="58"/>
        <v>AOP</v>
      </c>
      <c r="S193" s="17">
        <f t="shared" si="59"/>
        <v>11473.38539415217</v>
      </c>
      <c r="T193" s="18">
        <f t="shared" si="60"/>
        <v>11473.38539415217</v>
      </c>
      <c r="U193" s="23">
        <f t="shared" si="55"/>
        <v>29627.15</v>
      </c>
      <c r="Y193" s="8" t="str">
        <f t="shared" si="61"/>
        <v>ASGH67709H2.5XT</v>
      </c>
      <c r="Z193" s="8" t="str">
        <f>IF(Y193='Input - Bookings'!S190,"OK","Check")</f>
        <v>Check</v>
      </c>
      <c r="AA193" s="139" t="s">
        <v>1268</v>
      </c>
      <c r="AB193" s="103"/>
      <c r="AC193" s="103"/>
      <c r="AD193" s="100">
        <v>17797.808437105719</v>
      </c>
      <c r="AE193" s="100"/>
      <c r="AF193" s="8" t="str">
        <f t="array" ref="AF193">_xlfn.XLOOKUP($G193,'AP Plants'!D:D,'AP Plants'!B:B)</f>
        <v>Class 5 NOT BT</v>
      </c>
      <c r="AG193" s="102"/>
      <c r="AH193" s="102">
        <f t="shared" si="65"/>
        <v>17797.808437105719</v>
      </c>
      <c r="AI193" s="44">
        <v>1.4999999999999999E-2</v>
      </c>
      <c r="AJ193" s="15">
        <f>_xlfn.XLOOKUP($AF193,Warranty!B:B,Warranty!E:E)</f>
        <v>5.0000000000000001E-3</v>
      </c>
      <c r="AK193" s="8">
        <f>IF($I193="AUD",VLOOKUP(RIGHT('Wk - Margins'!$G193,3),'AU Freight'!C:G,5,0),0)</f>
        <v>0</v>
      </c>
      <c r="AL193" s="15">
        <f t="shared" si="66"/>
        <v>0</v>
      </c>
      <c r="AM193" s="61">
        <f t="shared" si="70"/>
        <v>18153.764605847831</v>
      </c>
      <c r="AN193" s="63">
        <f t="shared" si="68"/>
        <v>0.38725916580407393</v>
      </c>
      <c r="AQ193" s="147"/>
    </row>
    <row r="194" spans="1:43">
      <c r="A194" s="10" t="str">
        <f>'Input - Bookings'!A194</f>
        <v>10-23</v>
      </c>
      <c r="B194" s="11" t="str">
        <f>'Input - Bookings'!C194</f>
        <v>A</v>
      </c>
      <c r="C194" s="11" t="str">
        <f>'Input - Bookings'!H194</f>
        <v>MY</v>
      </c>
      <c r="D194" s="24" t="str">
        <f>'Input - Bookings'!E194</f>
        <v>067</v>
      </c>
      <c r="E194" s="24" t="str">
        <f>'Input - Bookings'!G194</f>
        <v>PRESTAR MARKETING SDN BHD</v>
      </c>
      <c r="F194" s="24" t="str">
        <f>'Input - Bookings'!I194</f>
        <v>H67507</v>
      </c>
      <c r="G194" s="24" t="str">
        <f>'Input - Bookings'!L194</f>
        <v>A7S1</v>
      </c>
      <c r="H194" s="24" t="str">
        <f>'Input - Bookings'!M194</f>
        <v>GP25UX</v>
      </c>
      <c r="I194" s="24" t="str">
        <f>'Input - Bookings'!B194</f>
        <v>USD</v>
      </c>
      <c r="J194" s="13" t="str">
        <f>IF(I194="USD",INDEX('AP Plants'!A:A,MATCH(G194,'AP Plants'!D:D,0)),INDEX('Australia Plants'!A:A,MATCH(G194,'Australia Plants'!D:D,0)))</f>
        <v>Maximal</v>
      </c>
      <c r="K194" s="73">
        <v>1</v>
      </c>
      <c r="L194" s="97">
        <v>17555</v>
      </c>
      <c r="M194" s="97">
        <v>9864.1</v>
      </c>
      <c r="N194" s="99">
        <v>3.6237138897366905E-2</v>
      </c>
      <c r="O194" s="25">
        <f t="shared" si="57"/>
        <v>0.43810310452862433</v>
      </c>
      <c r="P194" s="14">
        <f>IFERROR(IF(OR(B194&amp;C194="PAU",B194&amp;C194="AIN"),VLOOKUP(B194&amp;C194&amp;G194,#REF!,8,0),VLOOKUP(B194&amp;G194,#REF!,8,0)),0)</f>
        <v>0</v>
      </c>
      <c r="Q194" s="15">
        <f t="shared" si="72"/>
        <v>3.6237138897366905E-2</v>
      </c>
      <c r="R194" s="16" t="str">
        <f t="shared" si="58"/>
        <v>AOP</v>
      </c>
      <c r="S194" s="17">
        <f t="shared" si="59"/>
        <v>357.4467617975169</v>
      </c>
      <c r="T194" s="18">
        <f t="shared" si="60"/>
        <v>357.4467617975169</v>
      </c>
      <c r="U194" s="23">
        <f t="shared" si="55"/>
        <v>9864.1</v>
      </c>
      <c r="Y194" s="8" t="str">
        <f t="shared" si="61"/>
        <v>AMYH67507GP25UX</v>
      </c>
      <c r="Z194" s="8" t="str">
        <f>IF(Y194='Input - Bookings'!S191,"OK","Check")</f>
        <v>Check</v>
      </c>
      <c r="AA194" s="139"/>
      <c r="AB194" s="103"/>
      <c r="AC194" s="103"/>
      <c r="AD194" s="100">
        <v>9320.2482727475344</v>
      </c>
      <c r="AE194" s="100"/>
      <c r="AF194" s="8" t="str">
        <f t="array" ref="AF194">_xlfn.XLOOKUP($G194,'AP Plants'!D:D,'AP Plants'!B:B)</f>
        <v>Class 5 NOT BT</v>
      </c>
      <c r="AG194" s="102"/>
      <c r="AH194" s="102">
        <f t="shared" si="65"/>
        <v>9320.2482727475344</v>
      </c>
      <c r="AI194" s="44">
        <v>1.4999999999999999E-2</v>
      </c>
      <c r="AJ194" s="15">
        <f>_xlfn.XLOOKUP($AF194,Warranty!B:B,Warranty!E:E)</f>
        <v>5.0000000000000001E-3</v>
      </c>
      <c r="AK194" s="8">
        <f>IF($I194="AUD",VLOOKUP(RIGHT('Wk - Margins'!$G194,3),'AU Freight'!C:G,5,0),0)</f>
        <v>0</v>
      </c>
      <c r="AL194" s="15">
        <f t="shared" si="66"/>
        <v>0</v>
      </c>
      <c r="AM194" s="61">
        <f t="shared" si="70"/>
        <v>9506.6532382024834</v>
      </c>
      <c r="AN194" s="63">
        <f t="shared" si="68"/>
        <v>3.6237138897366905E-2</v>
      </c>
      <c r="AQ194" s="147"/>
    </row>
    <row r="195" spans="1:43">
      <c r="A195" s="10" t="str">
        <f>'Input - Bookings'!A195</f>
        <v>10-23</v>
      </c>
      <c r="B195" s="11" t="str">
        <f>'Input - Bookings'!C195</f>
        <v>A</v>
      </c>
      <c r="C195" s="11" t="str">
        <f>'Input - Bookings'!H195</f>
        <v>MY</v>
      </c>
      <c r="D195" s="24" t="str">
        <f>'Input - Bookings'!E195</f>
        <v>067</v>
      </c>
      <c r="E195" s="24" t="str">
        <f>'Input - Bookings'!G195</f>
        <v>PRESTAR MARKETING SDN BHD</v>
      </c>
      <c r="F195" s="24" t="str">
        <f>'Input - Bookings'!I195</f>
        <v>H67508</v>
      </c>
      <c r="G195" s="24" t="str">
        <f>'Input - Bookings'!L195</f>
        <v>A7S1</v>
      </c>
      <c r="H195" s="24" t="str">
        <f>'Input - Bookings'!M195</f>
        <v>GP25UX</v>
      </c>
      <c r="I195" s="24" t="str">
        <f>'Input - Bookings'!B195</f>
        <v>USD</v>
      </c>
      <c r="J195" s="13" t="str">
        <f>IF(I195="USD",INDEX('AP Plants'!A:A,MATCH(G195,'AP Plants'!D:D,0)),INDEX('Australia Plants'!A:A,MATCH(G195,'Australia Plants'!D:D,0)))</f>
        <v>Maximal</v>
      </c>
      <c r="K195" s="73">
        <v>1</v>
      </c>
      <c r="L195" s="97">
        <v>17555</v>
      </c>
      <c r="M195" s="97">
        <v>9864.1</v>
      </c>
      <c r="N195" s="99">
        <v>3.6237138897366905E-2</v>
      </c>
      <c r="O195" s="25">
        <f t="shared" si="57"/>
        <v>0.43810310452862433</v>
      </c>
      <c r="P195" s="14">
        <f>IFERROR(IF(OR(B195&amp;C195="PAU",B195&amp;C195="AIN"),VLOOKUP(B195&amp;C195&amp;G195,#REF!,8,0),VLOOKUP(B195&amp;G195,#REF!,8,0)),0)</f>
        <v>0</v>
      </c>
      <c r="Q195" s="15">
        <f t="shared" si="72"/>
        <v>3.6237138897366905E-2</v>
      </c>
      <c r="R195" s="16" t="str">
        <f t="shared" si="58"/>
        <v>AOP</v>
      </c>
      <c r="S195" s="17">
        <f t="shared" si="59"/>
        <v>357.4467617975169</v>
      </c>
      <c r="T195" s="18">
        <f t="shared" si="60"/>
        <v>357.4467617975169</v>
      </c>
      <c r="U195" s="23">
        <f t="shared" ref="U195:U258" si="73">IF(I195="USD",M195,M195/$X$6)</f>
        <v>9864.1</v>
      </c>
      <c r="Y195" s="8" t="str">
        <f t="shared" si="61"/>
        <v>AMYH67508GP25UX</v>
      </c>
      <c r="Z195" s="8" t="str">
        <f>IF(Y195='Input - Bookings'!S192,"OK","Check")</f>
        <v>Check</v>
      </c>
      <c r="AA195" s="139"/>
      <c r="AB195" s="103"/>
      <c r="AC195" s="103"/>
      <c r="AD195" s="100">
        <v>9320.2482727475344</v>
      </c>
      <c r="AE195" s="100"/>
      <c r="AF195" s="8" t="str">
        <f t="array" ref="AF195">_xlfn.XLOOKUP($G195,'AP Plants'!D:D,'AP Plants'!B:B)</f>
        <v>Class 5 NOT BT</v>
      </c>
      <c r="AG195" s="102"/>
      <c r="AH195" s="102">
        <f t="shared" si="65"/>
        <v>9320.2482727475344</v>
      </c>
      <c r="AI195" s="44">
        <v>1.4999999999999999E-2</v>
      </c>
      <c r="AJ195" s="15">
        <f>_xlfn.XLOOKUP($AF195,Warranty!B:B,Warranty!E:E)</f>
        <v>5.0000000000000001E-3</v>
      </c>
      <c r="AK195" s="8">
        <f>IF($I195="AUD",VLOOKUP(RIGHT('Wk - Margins'!$G195,3),'AU Freight'!C:G,5,0),0)</f>
        <v>0</v>
      </c>
      <c r="AL195" s="15">
        <f t="shared" si="66"/>
        <v>0</v>
      </c>
      <c r="AM195" s="61">
        <f t="shared" si="70"/>
        <v>9506.6532382024834</v>
      </c>
      <c r="AN195" s="63">
        <f t="shared" si="68"/>
        <v>3.6237138897366905E-2</v>
      </c>
      <c r="AQ195" s="147"/>
    </row>
    <row r="196" spans="1:43">
      <c r="A196" s="10" t="str">
        <f>'Input - Bookings'!A196</f>
        <v>10-23</v>
      </c>
      <c r="B196" s="11" t="str">
        <f>'Input - Bookings'!C196</f>
        <v>A</v>
      </c>
      <c r="C196" s="11" t="str">
        <f>'Input - Bookings'!H196</f>
        <v>MY</v>
      </c>
      <c r="D196" s="24" t="str">
        <f>'Input - Bookings'!E196</f>
        <v>067</v>
      </c>
      <c r="E196" s="24" t="str">
        <f>'Input - Bookings'!G196</f>
        <v>PRESTAR MARKETING SDN BHD</v>
      </c>
      <c r="F196" s="24" t="str">
        <f>'Input - Bookings'!I196</f>
        <v>H67509</v>
      </c>
      <c r="G196" s="24" t="str">
        <f>'Input - Bookings'!L196</f>
        <v>A7S1</v>
      </c>
      <c r="H196" s="24" t="str">
        <f>'Input - Bookings'!M196</f>
        <v>GP25UX</v>
      </c>
      <c r="I196" s="24" t="str">
        <f>'Input - Bookings'!B196</f>
        <v>USD</v>
      </c>
      <c r="J196" s="13" t="str">
        <f>IF(I196="USD",INDEX('AP Plants'!A:A,MATCH(G196,'AP Plants'!D:D,0)),INDEX('Australia Plants'!A:A,MATCH(G196,'Australia Plants'!D:D,0)))</f>
        <v>Maximal</v>
      </c>
      <c r="K196" s="73">
        <v>1</v>
      </c>
      <c r="L196" s="97">
        <v>17555</v>
      </c>
      <c r="M196" s="97">
        <v>9864.1</v>
      </c>
      <c r="N196" s="99">
        <v>3.6237138897366905E-2</v>
      </c>
      <c r="O196" s="25">
        <f t="shared" si="57"/>
        <v>0.43810310452862433</v>
      </c>
      <c r="P196" s="14">
        <f>IFERROR(IF(OR(B196&amp;C196="PAU",B196&amp;C196="AIN"),VLOOKUP(B196&amp;C196&amp;G196,#REF!,8,0),VLOOKUP(B196&amp;G196,#REF!,8,0)),0)</f>
        <v>0</v>
      </c>
      <c r="Q196" s="15">
        <f t="shared" si="72"/>
        <v>3.6237138897366905E-2</v>
      </c>
      <c r="R196" s="16" t="str">
        <f t="shared" si="58"/>
        <v>AOP</v>
      </c>
      <c r="S196" s="17">
        <f t="shared" si="59"/>
        <v>357.4467617975169</v>
      </c>
      <c r="T196" s="18">
        <f t="shared" si="60"/>
        <v>357.4467617975169</v>
      </c>
      <c r="U196" s="23">
        <f t="shared" si="73"/>
        <v>9864.1</v>
      </c>
      <c r="Y196" s="8" t="str">
        <f t="shared" si="61"/>
        <v>AMYH67509GP25UX</v>
      </c>
      <c r="Z196" s="8" t="str">
        <f>IF(Y196='Input - Bookings'!S197,"OK","Check")</f>
        <v>Check</v>
      </c>
      <c r="AA196" s="139"/>
      <c r="AB196" s="103"/>
      <c r="AC196" s="103"/>
      <c r="AD196" s="100">
        <v>9320.2482727475344</v>
      </c>
      <c r="AE196" s="100"/>
      <c r="AF196" s="8" t="str">
        <f t="array" ref="AF196">_xlfn.XLOOKUP($G196,'AP Plants'!D:D,'AP Plants'!B:B)</f>
        <v>Class 5 NOT BT</v>
      </c>
      <c r="AG196" s="102"/>
      <c r="AH196" s="102">
        <f t="shared" si="65"/>
        <v>9320.2482727475344</v>
      </c>
      <c r="AI196" s="44">
        <v>1.4999999999999999E-2</v>
      </c>
      <c r="AJ196" s="15">
        <f>_xlfn.XLOOKUP($AF196,Warranty!B:B,Warranty!E:E)</f>
        <v>5.0000000000000001E-3</v>
      </c>
      <c r="AK196" s="8">
        <f>IF($I196="AUD",VLOOKUP(RIGHT('Wk - Margins'!$G196,3),'AU Freight'!C:G,5,0),0)</f>
        <v>0</v>
      </c>
      <c r="AL196" s="15">
        <f t="shared" si="66"/>
        <v>0</v>
      </c>
      <c r="AM196" s="61">
        <f t="shared" si="70"/>
        <v>9506.6532382024834</v>
      </c>
      <c r="AN196" s="63">
        <f t="shared" si="68"/>
        <v>3.6237138897366905E-2</v>
      </c>
      <c r="AQ196" s="147"/>
    </row>
    <row r="197" spans="1:43">
      <c r="A197" s="10" t="str">
        <f>'Input - Bookings'!A197</f>
        <v>10-23</v>
      </c>
      <c r="B197" s="11" t="str">
        <f>'Input - Bookings'!C197</f>
        <v>A</v>
      </c>
      <c r="C197" s="11" t="str">
        <f>'Input - Bookings'!H197</f>
        <v>MY</v>
      </c>
      <c r="D197" s="24" t="str">
        <f>'Input - Bookings'!E197</f>
        <v>067</v>
      </c>
      <c r="E197" s="24" t="str">
        <f>'Input - Bookings'!G197</f>
        <v>PRESTAR MARKETING SDN BHD</v>
      </c>
      <c r="F197" s="24" t="str">
        <f>'Input - Bookings'!I197</f>
        <v>H67510</v>
      </c>
      <c r="G197" s="24" t="str">
        <f>'Input - Bookings'!L197</f>
        <v>A7S1</v>
      </c>
      <c r="H197" s="24" t="str">
        <f>'Input - Bookings'!M197</f>
        <v>GP25UX</v>
      </c>
      <c r="I197" s="24" t="str">
        <f>'Input - Bookings'!B197</f>
        <v>USD</v>
      </c>
      <c r="J197" s="13" t="str">
        <f>IF(I197="USD",INDEX('AP Plants'!A:A,MATCH(G197,'AP Plants'!D:D,0)),INDEX('Australia Plants'!A:A,MATCH(G197,'Australia Plants'!D:D,0)))</f>
        <v>Maximal</v>
      </c>
      <c r="K197" s="73">
        <v>1</v>
      </c>
      <c r="L197" s="97">
        <v>17555</v>
      </c>
      <c r="M197" s="97">
        <v>9864.1</v>
      </c>
      <c r="N197" s="99">
        <v>3.6237138897366905E-2</v>
      </c>
      <c r="O197" s="25">
        <f t="shared" si="57"/>
        <v>0.43810310452862433</v>
      </c>
      <c r="P197" s="14">
        <f>IFERROR(IF(OR(B197&amp;C197="PAU",B197&amp;C197="AIN"),VLOOKUP(B197&amp;C197&amp;G197,#REF!,8,0),VLOOKUP(B197&amp;G197,#REF!,8,0)),0)</f>
        <v>0</v>
      </c>
      <c r="Q197" s="15">
        <f t="shared" si="72"/>
        <v>3.6237138897366905E-2</v>
      </c>
      <c r="R197" s="16" t="str">
        <f t="shared" si="58"/>
        <v>AOP</v>
      </c>
      <c r="S197" s="17">
        <f t="shared" si="59"/>
        <v>357.4467617975169</v>
      </c>
      <c r="T197" s="18">
        <f t="shared" si="60"/>
        <v>357.4467617975169</v>
      </c>
      <c r="U197" s="23">
        <f t="shared" si="73"/>
        <v>9864.1</v>
      </c>
      <c r="Y197" s="8" t="str">
        <f t="shared" si="61"/>
        <v>AMYH67510GP25UX</v>
      </c>
      <c r="Z197" s="8" t="str">
        <f>IF(Y197='Input - Bookings'!S193,"OK","Check")</f>
        <v>Check</v>
      </c>
      <c r="AA197" s="139"/>
      <c r="AB197" s="103"/>
      <c r="AC197" s="103"/>
      <c r="AD197" s="100">
        <v>9320.2482727475344</v>
      </c>
      <c r="AE197" s="100"/>
      <c r="AF197" s="8" t="str">
        <f t="array" ref="AF197">_xlfn.XLOOKUP($G197,'AP Plants'!D:D,'AP Plants'!B:B)</f>
        <v>Class 5 NOT BT</v>
      </c>
      <c r="AG197" s="102"/>
      <c r="AH197" s="102">
        <f t="shared" si="65"/>
        <v>9320.2482727475344</v>
      </c>
      <c r="AI197" s="44">
        <v>1.4999999999999999E-2</v>
      </c>
      <c r="AJ197" s="15">
        <f>_xlfn.XLOOKUP($AF197,Warranty!B:B,Warranty!E:E)</f>
        <v>5.0000000000000001E-3</v>
      </c>
      <c r="AK197" s="8">
        <f>IF($I197="AUD",VLOOKUP(RIGHT('Wk - Margins'!$G197,3),'AU Freight'!C:G,5,0),0)</f>
        <v>0</v>
      </c>
      <c r="AL197" s="15">
        <f t="shared" si="66"/>
        <v>0</v>
      </c>
      <c r="AM197" s="61">
        <f t="shared" si="70"/>
        <v>9506.6532382024834</v>
      </c>
      <c r="AN197" s="63">
        <f t="shared" si="68"/>
        <v>3.6237138897366905E-2</v>
      </c>
      <c r="AQ197" s="147"/>
    </row>
    <row r="198" spans="1:43">
      <c r="A198" s="10" t="str">
        <f>'Input - Bookings'!A198</f>
        <v>10-24</v>
      </c>
      <c r="B198" s="11" t="str">
        <f>'Input - Bookings'!C198</f>
        <v>A</v>
      </c>
      <c r="C198" s="11" t="str">
        <f>'Input - Bookings'!H198</f>
        <v>TH</v>
      </c>
      <c r="D198" s="24" t="str">
        <f>'Input - Bookings'!E198</f>
        <v>065</v>
      </c>
      <c r="E198" s="24" t="str">
        <f>'Input - Bookings'!G198</f>
        <v>DILOK AND SONS CO.,LTD.</v>
      </c>
      <c r="F198" s="24" t="str">
        <f>'Input - Bookings'!I198</f>
        <v>H67790</v>
      </c>
      <c r="G198" s="24" t="str">
        <f>'Input - Bookings'!L198</f>
        <v>A406</v>
      </c>
      <c r="H198" s="24" t="str">
        <f>'Input - Bookings'!M198</f>
        <v>R1.6HD 406</v>
      </c>
      <c r="I198" s="24" t="str">
        <f>'Input - Bookings'!B198</f>
        <v>USD</v>
      </c>
      <c r="J198" s="13" t="str">
        <f>IF(I198="USD",INDEX('AP Plants'!A:A,MATCH(G198,'AP Plants'!D:D,0)),INDEX('Australia Plants'!A:A,MATCH(G198,'Australia Plants'!D:D,0)))</f>
        <v>Maximal</v>
      </c>
      <c r="K198" s="73">
        <v>1</v>
      </c>
      <c r="L198" s="97">
        <v>38211</v>
      </c>
      <c r="M198" s="97">
        <v>28334.82</v>
      </c>
      <c r="N198" s="99">
        <v>0.22780329409135913</v>
      </c>
      <c r="O198" s="25">
        <f t="shared" si="57"/>
        <v>0.25846431655805924</v>
      </c>
      <c r="P198" s="14">
        <f>IFERROR(IF(OR(B198&amp;C198="PAU",B198&amp;C198="AIN"),VLOOKUP(B198&amp;C198&amp;G198,#REF!,8,0),VLOOKUP(B198&amp;G198,#REF!,8,0)),0)</f>
        <v>0</v>
      </c>
      <c r="Q198" s="15">
        <f t="shared" si="72"/>
        <v>0.22780329409135913</v>
      </c>
      <c r="R198" s="16" t="str">
        <f t="shared" si="58"/>
        <v>AOP</v>
      </c>
      <c r="S198" s="17">
        <f t="shared" si="59"/>
        <v>6454.7653334857241</v>
      </c>
      <c r="T198" s="18">
        <f t="shared" si="60"/>
        <v>6454.7653334857241</v>
      </c>
      <c r="U198" s="23">
        <f t="shared" si="73"/>
        <v>28334.82</v>
      </c>
      <c r="Y198" s="8" t="str">
        <f t="shared" si="61"/>
        <v>ATHH67790R1.6HD 406</v>
      </c>
      <c r="Z198" s="8" t="str">
        <f>IF(Y198='Input - Bookings'!S194,"OK","Check")</f>
        <v>Check</v>
      </c>
      <c r="AA198" s="139"/>
      <c r="AB198" s="103"/>
      <c r="AC198" s="103"/>
      <c r="AD198" s="100">
        <v>21242.771520887651</v>
      </c>
      <c r="AE198" s="100"/>
      <c r="AF198" s="8" t="str">
        <f t="array" ref="AF198">_xlfn.XLOOKUP($G198,'AP Plants'!D:D,'AP Plants'!B:B)</f>
        <v>Class 2</v>
      </c>
      <c r="AG198" s="102"/>
      <c r="AH198" s="102">
        <f t="shared" si="65"/>
        <v>21242.771520887651</v>
      </c>
      <c r="AI198" s="44">
        <v>1.4999999999999999E-2</v>
      </c>
      <c r="AJ198" s="15">
        <f>_xlfn.XLOOKUP($AF198,Warranty!B:B,Warranty!E:E)</f>
        <v>1.4999999999999999E-2</v>
      </c>
      <c r="AK198" s="8">
        <f>IF($I198="AUD",VLOOKUP(RIGHT('Wk - Margins'!$G198,3),'AU Freight'!C:G,5,0),0)</f>
        <v>0</v>
      </c>
      <c r="AL198" s="15">
        <f t="shared" si="66"/>
        <v>0</v>
      </c>
      <c r="AM198" s="61">
        <f t="shared" si="70"/>
        <v>21880.054666514276</v>
      </c>
      <c r="AN198" s="63">
        <f t="shared" si="68"/>
        <v>0.22780329409135913</v>
      </c>
      <c r="AQ198" s="147"/>
    </row>
    <row r="199" spans="1:43">
      <c r="A199" s="10" t="str">
        <f>'Input - Bookings'!A199</f>
        <v>10-24</v>
      </c>
      <c r="B199" s="11" t="str">
        <f>'Input - Bookings'!C199</f>
        <v>A</v>
      </c>
      <c r="C199" s="11" t="str">
        <f>'Input - Bookings'!H199</f>
        <v>TH</v>
      </c>
      <c r="D199" s="24" t="str">
        <f>'Input - Bookings'!E199</f>
        <v>065</v>
      </c>
      <c r="E199" s="24" t="str">
        <f>'Input - Bookings'!G199</f>
        <v>DILOK AND SONS CO.,LTD.</v>
      </c>
      <c r="F199" s="24" t="str">
        <f>'Input - Bookings'!I199</f>
        <v>H67791</v>
      </c>
      <c r="G199" s="24" t="str">
        <f>'Input - Bookings'!L199</f>
        <v>A406</v>
      </c>
      <c r="H199" s="24" t="str">
        <f>'Input - Bookings'!M199</f>
        <v>R1.6HD 406</v>
      </c>
      <c r="I199" s="24" t="str">
        <f>'Input - Bookings'!B199</f>
        <v>USD</v>
      </c>
      <c r="J199" s="13" t="str">
        <f>IF(I199="USD",INDEX('AP Plants'!A:A,MATCH(G199,'AP Plants'!D:D,0)),INDEX('Australia Plants'!A:A,MATCH(G199,'Australia Plants'!D:D,0)))</f>
        <v>Maximal</v>
      </c>
      <c r="K199" s="73">
        <v>1</v>
      </c>
      <c r="L199" s="97">
        <v>38211</v>
      </c>
      <c r="M199" s="97">
        <v>28334.82</v>
      </c>
      <c r="N199" s="99">
        <v>0.22780329409135913</v>
      </c>
      <c r="O199" s="25">
        <f t="shared" si="57"/>
        <v>0.25846431655805924</v>
      </c>
      <c r="P199" s="14">
        <f>IFERROR(IF(OR(B199&amp;C199="PAU",B199&amp;C199="AIN"),VLOOKUP(B199&amp;C199&amp;G199,#REF!,8,0),VLOOKUP(B199&amp;G199,#REF!,8,0)),0)</f>
        <v>0</v>
      </c>
      <c r="Q199" s="15">
        <f t="shared" si="72"/>
        <v>0.22780329409135913</v>
      </c>
      <c r="R199" s="16" t="str">
        <f t="shared" si="58"/>
        <v>AOP</v>
      </c>
      <c r="S199" s="17">
        <f t="shared" si="59"/>
        <v>6454.7653334857241</v>
      </c>
      <c r="T199" s="18">
        <f t="shared" si="60"/>
        <v>6454.7653334857241</v>
      </c>
      <c r="U199" s="23">
        <f t="shared" si="73"/>
        <v>28334.82</v>
      </c>
      <c r="Y199" s="8" t="str">
        <f t="shared" si="61"/>
        <v>ATHH67791R1.6HD 406</v>
      </c>
      <c r="Z199" s="8" t="str">
        <f>IF(Y199='Input - Bookings'!S195,"OK","Check")</f>
        <v>Check</v>
      </c>
      <c r="AA199" s="139"/>
      <c r="AB199" s="103"/>
      <c r="AC199" s="103"/>
      <c r="AD199" s="100">
        <v>21242.771520887651</v>
      </c>
      <c r="AE199" s="100"/>
      <c r="AF199" s="8" t="str">
        <f t="array" ref="AF199">_xlfn.XLOOKUP($G199,'AP Plants'!D:D,'AP Plants'!B:B)</f>
        <v>Class 2</v>
      </c>
      <c r="AG199" s="102"/>
      <c r="AH199" s="102">
        <f t="shared" si="65"/>
        <v>21242.771520887651</v>
      </c>
      <c r="AI199" s="44">
        <v>1.4999999999999999E-2</v>
      </c>
      <c r="AJ199" s="15">
        <f>_xlfn.XLOOKUP($AF199,Warranty!B:B,Warranty!E:E)</f>
        <v>1.4999999999999999E-2</v>
      </c>
      <c r="AK199" s="8">
        <f>IF($I199="AUD",VLOOKUP(RIGHT('Wk - Margins'!$G199,3),'AU Freight'!C:G,5,0),0)</f>
        <v>0</v>
      </c>
      <c r="AL199" s="15">
        <f t="shared" si="66"/>
        <v>0</v>
      </c>
      <c r="AM199" s="61">
        <f t="shared" si="70"/>
        <v>21880.054666514276</v>
      </c>
      <c r="AN199" s="63">
        <f t="shared" si="68"/>
        <v>0.22780329409135913</v>
      </c>
      <c r="AQ199" s="147"/>
    </row>
    <row r="200" spans="1:43">
      <c r="A200" s="10" t="str">
        <f>'Input - Bookings'!A200</f>
        <v>10-24</v>
      </c>
      <c r="B200" s="11" t="str">
        <f>'Input - Bookings'!C200</f>
        <v>A</v>
      </c>
      <c r="C200" s="11" t="str">
        <f>'Input - Bookings'!H200</f>
        <v>TH</v>
      </c>
      <c r="D200" s="24" t="str">
        <f>'Input - Bookings'!E200</f>
        <v>065</v>
      </c>
      <c r="E200" s="24" t="str">
        <f>'Input - Bookings'!G200</f>
        <v>DILOK AND SONS CO.,LTD.</v>
      </c>
      <c r="F200" s="24" t="str">
        <f>'Input - Bookings'!I200</f>
        <v>H67792</v>
      </c>
      <c r="G200" s="24" t="str">
        <f>'Input - Bookings'!L200</f>
        <v>A406</v>
      </c>
      <c r="H200" s="24" t="str">
        <f>'Input - Bookings'!M200</f>
        <v>R1.6HD 406</v>
      </c>
      <c r="I200" s="24" t="str">
        <f>'Input - Bookings'!B200</f>
        <v>USD</v>
      </c>
      <c r="J200" s="13" t="str">
        <f>IF(I200="USD",INDEX('AP Plants'!A:A,MATCH(G200,'AP Plants'!D:D,0)),INDEX('Australia Plants'!A:A,MATCH(G200,'Australia Plants'!D:D,0)))</f>
        <v>Maximal</v>
      </c>
      <c r="K200" s="73">
        <v>1</v>
      </c>
      <c r="L200" s="97">
        <v>38211</v>
      </c>
      <c r="M200" s="97">
        <v>28334.82</v>
      </c>
      <c r="N200" s="99">
        <v>0.22780329409135913</v>
      </c>
      <c r="O200" s="25">
        <f t="shared" si="57"/>
        <v>0.25846431655805924</v>
      </c>
      <c r="P200" s="14">
        <f>IFERROR(IF(OR(B200&amp;C200="PAU",B200&amp;C200="AIN"),VLOOKUP(B200&amp;C200&amp;G200,#REF!,8,0),VLOOKUP(B200&amp;G200,#REF!,8,0)),0)</f>
        <v>0</v>
      </c>
      <c r="Q200" s="15">
        <f t="shared" si="72"/>
        <v>0.22780329409135913</v>
      </c>
      <c r="R200" s="16" t="str">
        <f t="shared" si="58"/>
        <v>AOP</v>
      </c>
      <c r="S200" s="17">
        <f t="shared" si="59"/>
        <v>6454.7653334857241</v>
      </c>
      <c r="T200" s="18">
        <f t="shared" si="60"/>
        <v>6454.7653334857241</v>
      </c>
      <c r="U200" s="23">
        <f t="shared" si="73"/>
        <v>28334.82</v>
      </c>
      <c r="Y200" s="8" t="str">
        <f t="shared" si="61"/>
        <v>ATHH67792R1.6HD 406</v>
      </c>
      <c r="Z200" s="8" t="str">
        <f>IF(Y200='Input - Bookings'!S196,"OK","Check")</f>
        <v>Check</v>
      </c>
      <c r="AA200" s="139"/>
      <c r="AB200" s="103"/>
      <c r="AC200" s="103"/>
      <c r="AD200" s="100">
        <v>21242.771520887651</v>
      </c>
      <c r="AE200" s="100"/>
      <c r="AF200" s="8" t="str">
        <f t="array" ref="AF200">_xlfn.XLOOKUP($G200,'AP Plants'!D:D,'AP Plants'!B:B)</f>
        <v>Class 2</v>
      </c>
      <c r="AG200" s="102"/>
      <c r="AH200" s="102">
        <f t="shared" si="65"/>
        <v>21242.771520887651</v>
      </c>
      <c r="AI200" s="44">
        <v>1.4999999999999999E-2</v>
      </c>
      <c r="AJ200" s="15">
        <f>_xlfn.XLOOKUP($AF200,Warranty!B:B,Warranty!E:E)</f>
        <v>1.4999999999999999E-2</v>
      </c>
      <c r="AK200" s="8">
        <f>IF($I200="AUD",VLOOKUP(RIGHT('Wk - Margins'!$G200,3),'AU Freight'!C:G,5,0),0)</f>
        <v>0</v>
      </c>
      <c r="AL200" s="15">
        <f t="shared" si="66"/>
        <v>0</v>
      </c>
      <c r="AM200" s="61">
        <f t="shared" si="70"/>
        <v>21880.054666514276</v>
      </c>
      <c r="AN200" s="63">
        <f t="shared" si="68"/>
        <v>0.22780329409135913</v>
      </c>
      <c r="AQ200" s="147"/>
    </row>
    <row r="201" spans="1:43">
      <c r="A201" s="10" t="str">
        <f>'Input - Bookings'!A201</f>
        <v>10-24</v>
      </c>
      <c r="B201" s="11" t="str">
        <f>'Input - Bookings'!C201</f>
        <v>A</v>
      </c>
      <c r="C201" s="11" t="str">
        <f>'Input - Bookings'!H201</f>
        <v>VN</v>
      </c>
      <c r="D201" s="24" t="str">
        <f>'Input - Bookings'!E201</f>
        <v>067</v>
      </c>
      <c r="E201" s="24" t="str">
        <f>'Input - Bookings'!G201</f>
        <v>KY LUC CO., LTD</v>
      </c>
      <c r="F201" s="24" t="str">
        <f>'Input - Bookings'!I201</f>
        <v>H67747</v>
      </c>
      <c r="G201" s="24" t="str">
        <f>'Input - Bookings'!L201</f>
        <v>C900</v>
      </c>
      <c r="H201" s="24" t="str">
        <f>'Input - Bookings'!M201</f>
        <v>FBR18SZ</v>
      </c>
      <c r="I201" s="24" t="str">
        <f>'Input - Bookings'!B201</f>
        <v>USD</v>
      </c>
      <c r="J201" s="13" t="str">
        <f>IF(I201="USD",INDEX('AP Plants'!A:A,MATCH(G201,'AP Plants'!D:D,0)),INDEX('Australia Plants'!A:A,MATCH(G201,'Australia Plants'!D:D,0)))</f>
        <v>SN</v>
      </c>
      <c r="K201" s="73">
        <v>1</v>
      </c>
      <c r="L201" s="97">
        <v>31615</v>
      </c>
      <c r="M201" s="97">
        <v>19919.675000000003</v>
      </c>
      <c r="N201" s="99">
        <v>0.20803216168734295</v>
      </c>
      <c r="O201" s="25">
        <f t="shared" ref="O201:O264" si="74">1-M201/L201</f>
        <v>0.36992962201486623</v>
      </c>
      <c r="P201" s="14">
        <f>IFERROR(IF(OR(B201&amp;C201="PAU",B201&amp;C201="AIN"),VLOOKUP(B201&amp;C201&amp;G201,#REF!,8,0),VLOOKUP(B201&amp;G201,#REF!,8,0)),0)</f>
        <v>0</v>
      </c>
      <c r="Q201" s="15">
        <f t="shared" si="72"/>
        <v>0.20803216168734295</v>
      </c>
      <c r="R201" s="16" t="str">
        <f t="shared" ref="R201:R264" si="75">IF(Q201&gt;=0%,"AOP",IF(Q201&gt;=-2%,"GM",IF(Q201&gt;=-6%,"MD","VP")))</f>
        <v>AOP</v>
      </c>
      <c r="S201" s="17">
        <f t="shared" ref="S201:S264" si="76">K201*M201*(N201-P201)</f>
        <v>4143.9330503593237</v>
      </c>
      <c r="T201" s="18">
        <f t="shared" ref="T201:T264" si="77">IF(I201="USD",S201,S201/$X$6)</f>
        <v>4143.9330503593237</v>
      </c>
      <c r="U201" s="23">
        <f t="shared" si="73"/>
        <v>19919.675000000003</v>
      </c>
      <c r="Y201" s="8" t="str">
        <f t="shared" ref="Y201:Y264" si="78">B201&amp;C201&amp;F201&amp;H201</f>
        <v>AVNH67747FBR18SZ</v>
      </c>
      <c r="Z201" s="8" t="str">
        <f>IF(Y201='Input - Bookings'!Q198,"OK","Check")</f>
        <v>Check</v>
      </c>
      <c r="AA201" s="139"/>
      <c r="AB201" s="103"/>
      <c r="AC201" s="103"/>
      <c r="AD201" s="100">
        <v>15316.254320039498</v>
      </c>
      <c r="AE201" s="100"/>
      <c r="AF201" s="8" t="str">
        <f t="array" ref="AF201">_xlfn.XLOOKUP($G201,'AP Plants'!D:D,'AP Plants'!B:B)</f>
        <v>Class 2</v>
      </c>
      <c r="AG201" s="102"/>
      <c r="AH201" s="102">
        <f t="shared" si="65"/>
        <v>15316.254320039498</v>
      </c>
      <c r="AI201" s="44">
        <v>1.4999999999999999E-2</v>
      </c>
      <c r="AJ201" s="15">
        <f>_xlfn.XLOOKUP($AF201,Warranty!B:B,Warranty!E:E)</f>
        <v>1.4999999999999999E-2</v>
      </c>
      <c r="AK201" s="8">
        <f>IF($I201="AUD",VLOOKUP(RIGHT('Wk - Margins'!$G201,3),'AU Freight'!C:G,5,0),0)</f>
        <v>0</v>
      </c>
      <c r="AL201" s="15">
        <f t="shared" si="66"/>
        <v>0</v>
      </c>
      <c r="AM201" s="61">
        <f t="shared" si="70"/>
        <v>15775.74194964068</v>
      </c>
      <c r="AN201" s="63">
        <f t="shared" si="68"/>
        <v>0.20803216168734295</v>
      </c>
      <c r="AQ201" s="147"/>
    </row>
    <row r="202" spans="1:43">
      <c r="A202" s="10" t="str">
        <f>'Input - Bookings'!A202</f>
        <v>10-24</v>
      </c>
      <c r="B202" s="11" t="str">
        <f>'Input - Bookings'!C202</f>
        <v>A</v>
      </c>
      <c r="C202" s="11" t="str">
        <f>'Input - Bookings'!H202</f>
        <v>VN</v>
      </c>
      <c r="D202" s="24" t="str">
        <f>'Input - Bookings'!E202</f>
        <v>067</v>
      </c>
      <c r="E202" s="24" t="str">
        <f>'Input - Bookings'!G202</f>
        <v>KY LUC CO., LTD</v>
      </c>
      <c r="F202" s="24" t="str">
        <f>'Input - Bookings'!I202</f>
        <v>H67748</v>
      </c>
      <c r="G202" s="24" t="str">
        <f>'Input - Bookings'!L202</f>
        <v>C900</v>
      </c>
      <c r="H202" s="24" t="str">
        <f>'Input - Bookings'!M202</f>
        <v>FBR18SZ</v>
      </c>
      <c r="I202" s="24" t="str">
        <f>'Input - Bookings'!B202</f>
        <v>USD</v>
      </c>
      <c r="J202" s="13" t="str">
        <f>IF(I202="USD",INDEX('AP Plants'!A:A,MATCH(G202,'AP Plants'!D:D,0)),INDEX('Australia Plants'!A:A,MATCH(G202,'Australia Plants'!D:D,0)))</f>
        <v>SN</v>
      </c>
      <c r="K202" s="73">
        <v>1</v>
      </c>
      <c r="L202" s="97">
        <v>31615</v>
      </c>
      <c r="M202" s="97">
        <v>19919.675000000003</v>
      </c>
      <c r="N202" s="99">
        <v>0.20803216168734295</v>
      </c>
      <c r="O202" s="25">
        <f t="shared" si="74"/>
        <v>0.36992962201486623</v>
      </c>
      <c r="P202" s="14">
        <f>IFERROR(IF(OR(B202&amp;C202="PAU",B202&amp;C202="AIN"),VLOOKUP(B202&amp;C202&amp;G202,#REF!,8,0),VLOOKUP(B202&amp;G202,#REF!,8,0)),0)</f>
        <v>0</v>
      </c>
      <c r="Q202" s="15">
        <f t="shared" si="72"/>
        <v>0.20803216168734295</v>
      </c>
      <c r="R202" s="16" t="str">
        <f t="shared" si="75"/>
        <v>AOP</v>
      </c>
      <c r="S202" s="17">
        <f t="shared" si="76"/>
        <v>4143.9330503593237</v>
      </c>
      <c r="T202" s="18">
        <f t="shared" si="77"/>
        <v>4143.9330503593237</v>
      </c>
      <c r="U202" s="23">
        <f t="shared" si="73"/>
        <v>19919.675000000003</v>
      </c>
      <c r="Y202" s="8" t="str">
        <f t="shared" si="78"/>
        <v>AVNH67748FBR18SZ</v>
      </c>
      <c r="Z202" s="8" t="str">
        <f>IF(Y202='Input - Bookings'!Q199,"OK","Check")</f>
        <v>Check</v>
      </c>
      <c r="AA202" s="139"/>
      <c r="AB202" s="103"/>
      <c r="AC202" s="103"/>
      <c r="AD202" s="100">
        <v>15316.254320039498</v>
      </c>
      <c r="AE202" s="100"/>
      <c r="AF202" s="8" t="str">
        <f t="array" ref="AF202">_xlfn.XLOOKUP($G202,'AP Plants'!D:D,'AP Plants'!B:B)</f>
        <v>Class 2</v>
      </c>
      <c r="AG202" s="102"/>
      <c r="AH202" s="102">
        <f t="shared" si="65"/>
        <v>15316.254320039498</v>
      </c>
      <c r="AI202" s="44">
        <v>1.4999999999999999E-2</v>
      </c>
      <c r="AJ202" s="15">
        <f>_xlfn.XLOOKUP($AF202,Warranty!B:B,Warranty!E:E)</f>
        <v>1.4999999999999999E-2</v>
      </c>
      <c r="AK202" s="8">
        <f>IF($I202="AUD",VLOOKUP(RIGHT('Wk - Margins'!$G202,3),'AU Freight'!C:G,5,0),0)</f>
        <v>0</v>
      </c>
      <c r="AL202" s="15">
        <f t="shared" si="66"/>
        <v>0</v>
      </c>
      <c r="AM202" s="61">
        <f t="shared" si="70"/>
        <v>15775.74194964068</v>
      </c>
      <c r="AN202" s="63">
        <f t="shared" si="68"/>
        <v>0.20803216168734295</v>
      </c>
      <c r="AQ202" s="147"/>
    </row>
    <row r="203" spans="1:43">
      <c r="A203" s="10" t="str">
        <f>'Input - Bookings'!A203</f>
        <v>10-24</v>
      </c>
      <c r="B203" s="11" t="str">
        <f>'Input - Bookings'!C203</f>
        <v>A</v>
      </c>
      <c r="C203" s="11" t="str">
        <f>'Input - Bookings'!H203</f>
        <v>VN</v>
      </c>
      <c r="D203" s="24" t="str">
        <f>'Input - Bookings'!E203</f>
        <v>065</v>
      </c>
      <c r="E203" s="24" t="str">
        <f>'Input - Bookings'!G203</f>
        <v>MICO MACHINERY &amp;</v>
      </c>
      <c r="F203" s="24" t="str">
        <f>'Input - Bookings'!I203</f>
        <v>H67843</v>
      </c>
      <c r="G203" s="24" t="str">
        <f>'Input - Bookings'!L203</f>
        <v>A3C6</v>
      </c>
      <c r="H203" s="24" t="str">
        <f>'Input - Bookings'!M203</f>
        <v>H5.0UTS6</v>
      </c>
      <c r="I203" s="24" t="str">
        <f>'Input - Bookings'!B203</f>
        <v>USD</v>
      </c>
      <c r="J203" s="13" t="str">
        <f>IF(I203="USD",INDEX('AP Plants'!A:A,MATCH(G203,'AP Plants'!D:D,0)),INDEX('Australia Plants'!A:A,MATCH(G203,'Australia Plants'!D:D,0)))</f>
        <v>Maximal</v>
      </c>
      <c r="K203" s="73">
        <v>1</v>
      </c>
      <c r="L203" s="97">
        <v>34680</v>
      </c>
      <c r="M203" s="97">
        <v>23087.7</v>
      </c>
      <c r="N203" s="99">
        <v>0.20070373457289592</v>
      </c>
      <c r="O203" s="25">
        <f t="shared" si="74"/>
        <v>0.33426470588235291</v>
      </c>
      <c r="P203" s="14">
        <f>IFERROR(IF(OR(B203&amp;C203="PAU",B203&amp;C203="AIN"),VLOOKUP(B203&amp;C203&amp;G203,#REF!,8,0),VLOOKUP(B203&amp;G203,#REF!,8,0)),0)</f>
        <v>0</v>
      </c>
      <c r="Q203" s="15">
        <f t="shared" si="72"/>
        <v>0.20070373457289592</v>
      </c>
      <c r="R203" s="16" t="str">
        <f t="shared" si="75"/>
        <v>AOP</v>
      </c>
      <c r="S203" s="17">
        <f t="shared" si="76"/>
        <v>4633.7876126986494</v>
      </c>
      <c r="T203" s="18">
        <f t="shared" si="77"/>
        <v>4633.7876126986494</v>
      </c>
      <c r="U203" s="23">
        <f t="shared" si="73"/>
        <v>23087.7</v>
      </c>
      <c r="Y203" s="8" t="str">
        <f t="shared" si="78"/>
        <v>AVNH67843H5.0UTS6</v>
      </c>
      <c r="Z203" s="8" t="str">
        <f>IF(Y203='Input - Bookings'!Q200,"OK","Check")</f>
        <v>Check</v>
      </c>
      <c r="AA203" s="139"/>
      <c r="AB203" s="103"/>
      <c r="AC203" s="103"/>
      <c r="AD203" s="100">
        <v>18092.070967942505</v>
      </c>
      <c r="AE203" s="100"/>
      <c r="AF203" s="8" t="str">
        <f t="array" ref="AF203">_xlfn.XLOOKUP($G203,'AP Plants'!D:D,'AP Plants'!B:B)</f>
        <v>Class 5 NOT BT</v>
      </c>
      <c r="AG203" s="102"/>
      <c r="AH203" s="102">
        <f t="shared" si="65"/>
        <v>18092.070967942505</v>
      </c>
      <c r="AI203" s="44">
        <v>1.4999999999999999E-2</v>
      </c>
      <c r="AJ203" s="15">
        <f>_xlfn.XLOOKUP($AF203,Warranty!B:B,Warranty!E:E)</f>
        <v>5.0000000000000001E-3</v>
      </c>
      <c r="AK203" s="8">
        <f>IF($I203="AUD",VLOOKUP(RIGHT('Wk - Margins'!$G203,3),'AU Freight'!C:G,5,0),0)</f>
        <v>0</v>
      </c>
      <c r="AL203" s="15">
        <f t="shared" si="66"/>
        <v>0</v>
      </c>
      <c r="AM203" s="61">
        <f t="shared" si="70"/>
        <v>18453.912387301352</v>
      </c>
      <c r="AN203" s="63">
        <f t="shared" si="68"/>
        <v>0.20070373457289592</v>
      </c>
      <c r="AQ203" s="147"/>
    </row>
    <row r="204" spans="1:43">
      <c r="A204" s="10" t="str">
        <f>'Input - Bookings'!A204</f>
        <v>10-25</v>
      </c>
      <c r="B204" s="11" t="str">
        <f>'Input - Bookings'!C204</f>
        <v>A</v>
      </c>
      <c r="C204" s="11" t="str">
        <f>'Input - Bookings'!H204</f>
        <v>TH</v>
      </c>
      <c r="D204" s="24" t="str">
        <f>'Input - Bookings'!E204</f>
        <v>067</v>
      </c>
      <c r="E204" s="24" t="str">
        <f>'Input - Bookings'!G204</f>
        <v>JENBUNJERD CO LTD</v>
      </c>
      <c r="F204" s="146" t="str">
        <f>'Input - Bookings'!I204</f>
        <v>H67844</v>
      </c>
      <c r="G204" s="24" t="str">
        <f>'Input - Bookings'!L204</f>
        <v>A7S4</v>
      </c>
      <c r="H204" s="24" t="str">
        <f>'Input - Bookings'!M204</f>
        <v>ERP15UX</v>
      </c>
      <c r="I204" s="24" t="str">
        <f>'Input - Bookings'!B204</f>
        <v>USD</v>
      </c>
      <c r="J204" s="13" t="str">
        <f>IF(I204="USD",INDEX('AP Plants'!A:A,MATCH(G204,'AP Plants'!D:D,0)),INDEX('Australia Plants'!A:A,MATCH(G204,'Australia Plants'!D:D,0)))</f>
        <v>Maximal</v>
      </c>
      <c r="K204" s="73">
        <v>1</v>
      </c>
      <c r="L204" s="97">
        <v>21584</v>
      </c>
      <c r="M204" s="97">
        <v>15295.1</v>
      </c>
      <c r="N204" s="99">
        <v>0.1419324406088136</v>
      </c>
      <c r="O204" s="25">
        <f t="shared" si="74"/>
        <v>0.29136860637509265</v>
      </c>
      <c r="P204" s="14">
        <f>IFERROR(IF(OR(B204&amp;C204="PAU",B204&amp;C204="AIN"),VLOOKUP(B204&amp;C204&amp;G204,#REF!,8,0),VLOOKUP(B204&amp;G204,#REF!,8,0)),0)</f>
        <v>0</v>
      </c>
      <c r="Q204" s="15">
        <f t="shared" si="72"/>
        <v>0.1419324406088136</v>
      </c>
      <c r="R204" s="16" t="str">
        <f t="shared" si="75"/>
        <v>AOP</v>
      </c>
      <c r="S204" s="17">
        <f t="shared" si="76"/>
        <v>2170.8708723558648</v>
      </c>
      <c r="T204" s="18">
        <f t="shared" si="77"/>
        <v>2170.8708723558648</v>
      </c>
      <c r="U204" s="23">
        <f t="shared" si="73"/>
        <v>15295.1</v>
      </c>
      <c r="Y204" s="8" t="str">
        <f t="shared" si="78"/>
        <v>ATHH67844ERP15UX</v>
      </c>
      <c r="Z204" s="8" t="str">
        <f>IF(Y204='Input - Bookings'!Q201,"OK","Check")</f>
        <v>Check</v>
      </c>
      <c r="AA204" s="139"/>
      <c r="AB204" s="103"/>
      <c r="AC204" s="103"/>
      <c r="AD204" s="100">
        <f>12666.8913016119+200</f>
        <v>12866.8913016119</v>
      </c>
      <c r="AE204" s="100"/>
      <c r="AF204" s="8" t="str">
        <f t="array" ref="AF204">_xlfn.XLOOKUP($G204,'AP Plants'!D:D,'AP Plants'!B:B)</f>
        <v>Class 1</v>
      </c>
      <c r="AG204" s="102"/>
      <c r="AH204" s="102">
        <f t="shared" si="65"/>
        <v>12866.8913016119</v>
      </c>
      <c r="AI204" s="44">
        <v>1.4999999999999999E-2</v>
      </c>
      <c r="AJ204" s="15">
        <f>_xlfn.XLOOKUP($AF204,Warranty!B:B,Warranty!E:E)</f>
        <v>5.0000000000000001E-3</v>
      </c>
      <c r="AK204" s="8">
        <f>IF($I204="AUD",VLOOKUP(RIGHT('Wk - Margins'!$G204,3),'AU Freight'!C:G,5,0),0)</f>
        <v>0</v>
      </c>
      <c r="AL204" s="15">
        <f t="shared" si="66"/>
        <v>0</v>
      </c>
      <c r="AM204" s="61">
        <f t="shared" si="70"/>
        <v>13124.229127644136</v>
      </c>
      <c r="AN204" s="63">
        <f t="shared" si="68"/>
        <v>0.1419324406088136</v>
      </c>
      <c r="AQ204" s="147"/>
    </row>
    <row r="205" spans="1:43">
      <c r="A205" s="10" t="str">
        <f>'Input - Bookings'!A205</f>
        <v>10-25</v>
      </c>
      <c r="B205" s="11" t="str">
        <f>'Input - Bookings'!C205</f>
        <v>A</v>
      </c>
      <c r="C205" s="11" t="str">
        <f>'Input - Bookings'!H205</f>
        <v>TH</v>
      </c>
      <c r="D205" s="24" t="str">
        <f>'Input - Bookings'!E205</f>
        <v>067</v>
      </c>
      <c r="E205" s="24" t="str">
        <f>'Input - Bookings'!G205</f>
        <v>JENBUNJERD CO LTD</v>
      </c>
      <c r="F205" s="146" t="str">
        <f>'Input - Bookings'!I205</f>
        <v>H67845</v>
      </c>
      <c r="G205" s="24" t="str">
        <f>'Input - Bookings'!L205</f>
        <v>A7S4</v>
      </c>
      <c r="H205" s="24" t="str">
        <f>'Input - Bookings'!M205</f>
        <v>ERP15UX</v>
      </c>
      <c r="I205" s="24" t="str">
        <f>'Input - Bookings'!B205</f>
        <v>USD</v>
      </c>
      <c r="J205" s="13" t="str">
        <f>IF(I205="USD",INDEX('AP Plants'!A:A,MATCH(G205,'AP Plants'!D:D,0)),INDEX('Australia Plants'!A:A,MATCH(G205,'Australia Plants'!D:D,0)))</f>
        <v>Maximal</v>
      </c>
      <c r="K205" s="73">
        <v>1</v>
      </c>
      <c r="L205" s="97">
        <v>22809</v>
      </c>
      <c r="M205" s="97">
        <v>16226.1</v>
      </c>
      <c r="N205" s="99">
        <v>0.14924893693724062</v>
      </c>
      <c r="O205" s="25">
        <f t="shared" si="74"/>
        <v>0.28860975930553723</v>
      </c>
      <c r="P205" s="14">
        <f>IFERROR(IF(OR(B205&amp;C205="PAU",B205&amp;C205="AIN"),VLOOKUP(B205&amp;C205&amp;G205,#REF!,8,0),VLOOKUP(B205&amp;G205,#REF!,8,0)),0)</f>
        <v>0</v>
      </c>
      <c r="Q205" s="15">
        <f t="shared" si="72"/>
        <v>0.14924893693724062</v>
      </c>
      <c r="R205" s="16" t="str">
        <f t="shared" si="75"/>
        <v>AOP</v>
      </c>
      <c r="S205" s="17">
        <f t="shared" si="76"/>
        <v>2421.72817563736</v>
      </c>
      <c r="T205" s="18">
        <f t="shared" si="77"/>
        <v>2421.72817563736</v>
      </c>
      <c r="U205" s="23">
        <f t="shared" si="73"/>
        <v>16226.1</v>
      </c>
      <c r="Y205" s="8" t="str">
        <f t="shared" si="78"/>
        <v>ATHH67845ERP15UX</v>
      </c>
      <c r="Z205" s="8" t="str">
        <f>IF(Y205='Input - Bookings'!Q202,"OK","Check")</f>
        <v>Check</v>
      </c>
      <c r="AA205" s="139"/>
      <c r="AB205" s="103"/>
      <c r="AC205" s="103"/>
      <c r="AD205" s="100">
        <f>13333.6978670222+200</f>
        <v>13533.6978670222</v>
      </c>
      <c r="AE205" s="100"/>
      <c r="AF205" s="8" t="str">
        <f t="array" ref="AF205">_xlfn.XLOOKUP($G205,'AP Plants'!D:D,'AP Plants'!B:B)</f>
        <v>Class 1</v>
      </c>
      <c r="AG205" s="102"/>
      <c r="AH205" s="102">
        <f t="shared" si="65"/>
        <v>13533.6978670222</v>
      </c>
      <c r="AI205" s="44">
        <v>1.4999999999999999E-2</v>
      </c>
      <c r="AJ205" s="15">
        <f>_xlfn.XLOOKUP($AF205,Warranty!B:B,Warranty!E:E)</f>
        <v>5.0000000000000001E-3</v>
      </c>
      <c r="AK205" s="8">
        <f>IF($I205="AUD",VLOOKUP(RIGHT('Wk - Margins'!$G205,3),'AU Freight'!C:G,5,0),0)</f>
        <v>0</v>
      </c>
      <c r="AL205" s="15">
        <f t="shared" si="66"/>
        <v>0</v>
      </c>
      <c r="AM205" s="61">
        <f t="shared" si="70"/>
        <v>13804.371824362641</v>
      </c>
      <c r="AN205" s="63">
        <f t="shared" si="68"/>
        <v>0.14924893693724062</v>
      </c>
      <c r="AQ205" s="147"/>
    </row>
    <row r="206" spans="1:43">
      <c r="A206" s="10" t="str">
        <f>'Input - Bookings'!A206</f>
        <v>10-25</v>
      </c>
      <c r="B206" s="11" t="str">
        <f>'Input - Bookings'!C206</f>
        <v>A</v>
      </c>
      <c r="C206" s="11" t="str">
        <f>'Input - Bookings'!H206</f>
        <v>VN</v>
      </c>
      <c r="D206" s="24" t="str">
        <f>'Input - Bookings'!E206</f>
        <v>067</v>
      </c>
      <c r="E206" s="24" t="str">
        <f>'Input - Bookings'!G206</f>
        <v>KY LUC CO., LTD</v>
      </c>
      <c r="F206" s="146" t="str">
        <f>'Input - Bookings'!I206</f>
        <v>H67860</v>
      </c>
      <c r="G206" s="24" t="str">
        <f>'Input - Bookings'!L206</f>
        <v>A7S4</v>
      </c>
      <c r="H206" s="24" t="str">
        <f>'Input - Bookings'!M206</f>
        <v>ERP25UX</v>
      </c>
      <c r="I206" s="24" t="str">
        <f>'Input - Bookings'!B206</f>
        <v>USD</v>
      </c>
      <c r="J206" s="13" t="str">
        <f>IF(I206="USD",INDEX('AP Plants'!A:A,MATCH(G206,'AP Plants'!D:D,0)),INDEX('Australia Plants'!A:A,MATCH(G206,'Australia Plants'!D:D,0)))</f>
        <v>Maximal</v>
      </c>
      <c r="K206" s="73">
        <v>1</v>
      </c>
      <c r="L206" s="97">
        <v>25882</v>
      </c>
      <c r="M206" s="97">
        <v>17973.75</v>
      </c>
      <c r="N206" s="99">
        <v>0.14939339749207514</v>
      </c>
      <c r="O206" s="25">
        <f t="shared" si="74"/>
        <v>0.3055501893207635</v>
      </c>
      <c r="P206" s="14">
        <f>IFERROR(IF(OR(B206&amp;C206="PAU",B206&amp;C206="AIN"),VLOOKUP(B206&amp;C206&amp;G206,#REF!,8,0),VLOOKUP(B206&amp;G206,#REF!,8,0)),0)</f>
        <v>0</v>
      </c>
      <c r="Q206" s="15">
        <f t="shared" si="72"/>
        <v>0.14939339749207514</v>
      </c>
      <c r="R206" s="16" t="str">
        <f t="shared" si="75"/>
        <v>AOP</v>
      </c>
      <c r="S206" s="17">
        <f t="shared" si="76"/>
        <v>2685.1595781731858</v>
      </c>
      <c r="T206" s="18">
        <f t="shared" si="77"/>
        <v>2685.1595781731858</v>
      </c>
      <c r="U206" s="23">
        <f t="shared" si="73"/>
        <v>17973.75</v>
      </c>
      <c r="Y206" s="8" t="str">
        <f t="shared" si="78"/>
        <v>AVNH67860ERP25UX</v>
      </c>
      <c r="Z206" s="8" t="str">
        <f>IF(Y206='Input - Bookings'!Q203,"OK","Check")</f>
        <v>Check</v>
      </c>
      <c r="AA206" s="139"/>
      <c r="AB206" s="103"/>
      <c r="AC206" s="103"/>
      <c r="AD206" s="100">
        <f>14788.8141390459+200</f>
        <v>14988.8141390459</v>
      </c>
      <c r="AE206" s="100"/>
      <c r="AF206" s="8" t="str">
        <f t="array" ref="AF206">_xlfn.XLOOKUP($G206,'AP Plants'!D:D,'AP Plants'!B:B)</f>
        <v>Class 1</v>
      </c>
      <c r="AG206" s="102"/>
      <c r="AH206" s="102">
        <f t="shared" si="65"/>
        <v>14988.8141390459</v>
      </c>
      <c r="AI206" s="44">
        <v>1.4999999999999999E-2</v>
      </c>
      <c r="AJ206" s="15">
        <f>_xlfn.XLOOKUP($AF206,Warranty!B:B,Warranty!E:E)</f>
        <v>5.0000000000000001E-3</v>
      </c>
      <c r="AK206" s="8">
        <f>IF($I206="AUD",VLOOKUP(RIGHT('Wk - Margins'!$G206,3),'AU Freight'!C:G,5,0),0)</f>
        <v>0</v>
      </c>
      <c r="AL206" s="15">
        <f t="shared" si="66"/>
        <v>0</v>
      </c>
      <c r="AM206" s="61">
        <f t="shared" si="70"/>
        <v>15288.590421826815</v>
      </c>
      <c r="AN206" s="63">
        <f t="shared" si="68"/>
        <v>0.14939339749207514</v>
      </c>
      <c r="AQ206" s="147"/>
    </row>
    <row r="207" spans="1:43">
      <c r="A207" s="10" t="str">
        <f>'Input - Bookings'!A207</f>
        <v>10-25</v>
      </c>
      <c r="B207" s="11" t="str">
        <f>'Input - Bookings'!C207</f>
        <v>A</v>
      </c>
      <c r="C207" s="11" t="str">
        <f>'Input - Bookings'!H207</f>
        <v>VN</v>
      </c>
      <c r="D207" s="24" t="str">
        <f>'Input - Bookings'!E207</f>
        <v>067</v>
      </c>
      <c r="E207" s="24" t="str">
        <f>'Input - Bookings'!G207</f>
        <v>KY LUC CO., LTD</v>
      </c>
      <c r="F207" s="146" t="str">
        <f>'Input - Bookings'!I207</f>
        <v>H67861</v>
      </c>
      <c r="G207" s="24" t="str">
        <f>'Input - Bookings'!L207</f>
        <v>A7S4</v>
      </c>
      <c r="H207" s="24" t="str">
        <f>'Input - Bookings'!M207</f>
        <v>ERP25UX</v>
      </c>
      <c r="I207" s="24" t="str">
        <f>'Input - Bookings'!B207</f>
        <v>USD</v>
      </c>
      <c r="J207" s="13" t="str">
        <f>IF(I207="USD",INDEX('AP Plants'!A:A,MATCH(G207,'AP Plants'!D:D,0)),INDEX('Australia Plants'!A:A,MATCH(G207,'Australia Plants'!D:D,0)))</f>
        <v>Maximal</v>
      </c>
      <c r="K207" s="73">
        <v>1</v>
      </c>
      <c r="L207" s="97">
        <v>25882</v>
      </c>
      <c r="M207" s="97">
        <v>17973.75</v>
      </c>
      <c r="N207" s="99">
        <v>0.14939339749207514</v>
      </c>
      <c r="O207" s="25">
        <f t="shared" si="74"/>
        <v>0.3055501893207635</v>
      </c>
      <c r="P207" s="14">
        <f>IFERROR(IF(OR(B207&amp;C207="PAU",B207&amp;C207="AIN"),VLOOKUP(B207&amp;C207&amp;G207,#REF!,8,0),VLOOKUP(B207&amp;G207,#REF!,8,0)),0)</f>
        <v>0</v>
      </c>
      <c r="Q207" s="15">
        <f t="shared" si="72"/>
        <v>0.14939339749207514</v>
      </c>
      <c r="R207" s="16" t="str">
        <f t="shared" si="75"/>
        <v>AOP</v>
      </c>
      <c r="S207" s="17">
        <f t="shared" si="76"/>
        <v>2685.1595781731858</v>
      </c>
      <c r="T207" s="18">
        <f t="shared" si="77"/>
        <v>2685.1595781731858</v>
      </c>
      <c r="U207" s="23">
        <f t="shared" si="73"/>
        <v>17973.75</v>
      </c>
      <c r="Y207" s="8" t="str">
        <f t="shared" si="78"/>
        <v>AVNH67861ERP25UX</v>
      </c>
      <c r="Z207" s="8" t="str">
        <f>IF(Y207='Input - Bookings'!Q204,"OK","Check")</f>
        <v>Check</v>
      </c>
      <c r="AA207" s="139"/>
      <c r="AB207" s="103"/>
      <c r="AC207" s="103"/>
      <c r="AD207" s="100">
        <f>14788.8141390459+200</f>
        <v>14988.8141390459</v>
      </c>
      <c r="AE207" s="100"/>
      <c r="AF207" s="8" t="str">
        <f t="array" ref="AF207">_xlfn.XLOOKUP($G207,'AP Plants'!D:D,'AP Plants'!B:B)</f>
        <v>Class 1</v>
      </c>
      <c r="AG207" s="102"/>
      <c r="AH207" s="102">
        <f t="shared" si="65"/>
        <v>14988.8141390459</v>
      </c>
      <c r="AI207" s="44">
        <v>1.4999999999999999E-2</v>
      </c>
      <c r="AJ207" s="15">
        <f>_xlfn.XLOOKUP($AF207,Warranty!B:B,Warranty!E:E)</f>
        <v>5.0000000000000001E-3</v>
      </c>
      <c r="AK207" s="8">
        <f>IF($I207="AUD",VLOOKUP(RIGHT('Wk - Margins'!$G207,3),'AU Freight'!C:G,5,0),0)</f>
        <v>0</v>
      </c>
      <c r="AL207" s="15">
        <f t="shared" si="66"/>
        <v>0</v>
      </c>
      <c r="AM207" s="61">
        <f t="shared" si="70"/>
        <v>15288.590421826815</v>
      </c>
      <c r="AN207" s="63">
        <f t="shared" si="68"/>
        <v>0.14939339749207514</v>
      </c>
      <c r="AQ207" s="147"/>
    </row>
    <row r="208" spans="1:43">
      <c r="A208" s="10" t="str">
        <f>'Input - Bookings'!A208</f>
        <v>10-25</v>
      </c>
      <c r="B208" s="11" t="str">
        <f>'Input - Bookings'!C208</f>
        <v>A</v>
      </c>
      <c r="C208" s="11" t="str">
        <f>'Input - Bookings'!H208</f>
        <v>VN</v>
      </c>
      <c r="D208" s="24" t="str">
        <f>'Input - Bookings'!E208</f>
        <v>067</v>
      </c>
      <c r="E208" s="24" t="str">
        <f>'Input - Bookings'!G208</f>
        <v>KY LUC CO., LTD</v>
      </c>
      <c r="F208" s="146" t="str">
        <f>'Input - Bookings'!I208</f>
        <v>H67862</v>
      </c>
      <c r="G208" s="24" t="str">
        <f>'Input - Bookings'!L208</f>
        <v>A7S4</v>
      </c>
      <c r="H208" s="24" t="str">
        <f>'Input - Bookings'!M208</f>
        <v>ERP30UX</v>
      </c>
      <c r="I208" s="24" t="str">
        <f>'Input - Bookings'!B208</f>
        <v>USD</v>
      </c>
      <c r="J208" s="13" t="str">
        <f>IF(I208="USD",INDEX('AP Plants'!A:A,MATCH(G208,'AP Plants'!D:D,0)),INDEX('Australia Plants'!A:A,MATCH(G208,'Australia Plants'!D:D,0)))</f>
        <v>Maximal</v>
      </c>
      <c r="K208" s="73">
        <v>1</v>
      </c>
      <c r="L208" s="97">
        <v>32308</v>
      </c>
      <c r="M208" s="97">
        <v>22917.399999999998</v>
      </c>
      <c r="N208" s="99">
        <v>0.17315753999032002</v>
      </c>
      <c r="O208" s="25">
        <f t="shared" si="74"/>
        <v>0.29065866039371058</v>
      </c>
      <c r="P208" s="14">
        <f>IFERROR(IF(OR(B208&amp;C208="PAU",B208&amp;C208="AIN"),VLOOKUP(B208&amp;C208&amp;G208,#REF!,8,0),VLOOKUP(B208&amp;G208,#REF!,8,0)),0)</f>
        <v>0</v>
      </c>
      <c r="Q208" s="15">
        <f t="shared" si="72"/>
        <v>0.17315753999032002</v>
      </c>
      <c r="R208" s="16" t="str">
        <f t="shared" si="75"/>
        <v>AOP</v>
      </c>
      <c r="S208" s="17">
        <f t="shared" si="76"/>
        <v>3968.3206069741595</v>
      </c>
      <c r="T208" s="18">
        <f t="shared" si="77"/>
        <v>3968.3206069741595</v>
      </c>
      <c r="U208" s="23">
        <f t="shared" si="73"/>
        <v>22917.399999999998</v>
      </c>
      <c r="Y208" s="8" t="str">
        <f t="shared" si="78"/>
        <v>AVNH67862ERP30UX</v>
      </c>
      <c r="Z208" s="8" t="str">
        <f>IF(Y208='Input - Bookings'!Q205,"OK","Check")</f>
        <v>Check</v>
      </c>
      <c r="AA208" s="139"/>
      <c r="AB208" s="103"/>
      <c r="AC208" s="103"/>
      <c r="AD208" s="100">
        <f>18377.528816692+200</f>
        <v>18577.528816692</v>
      </c>
      <c r="AE208" s="100"/>
      <c r="AF208" s="8" t="str">
        <f t="array" ref="AF208">_xlfn.XLOOKUP($G208,'AP Plants'!D:D,'AP Plants'!B:B)</f>
        <v>Class 1</v>
      </c>
      <c r="AG208" s="102"/>
      <c r="AH208" s="102">
        <f t="shared" si="65"/>
        <v>18577.528816692</v>
      </c>
      <c r="AI208" s="44">
        <v>1.4999999999999999E-2</v>
      </c>
      <c r="AJ208" s="15">
        <f>_xlfn.XLOOKUP($AF208,Warranty!B:B,Warranty!E:E)</f>
        <v>5.0000000000000001E-3</v>
      </c>
      <c r="AK208" s="8">
        <f>IF($I208="AUD",VLOOKUP(RIGHT('Wk - Margins'!$G208,3),'AU Freight'!C:G,5,0),0)</f>
        <v>0</v>
      </c>
      <c r="AL208" s="15">
        <f t="shared" si="66"/>
        <v>0</v>
      </c>
      <c r="AM208" s="61">
        <f t="shared" si="70"/>
        <v>18949.079393025837</v>
      </c>
      <c r="AN208" s="63">
        <f t="shared" si="68"/>
        <v>0.17315753999032002</v>
      </c>
      <c r="AQ208" s="147"/>
    </row>
    <row r="209" spans="1:43">
      <c r="A209" s="10" t="str">
        <f>'Input - Bookings'!A209</f>
        <v>10-25</v>
      </c>
      <c r="B209" s="11" t="str">
        <f>'Input - Bookings'!C209</f>
        <v>A</v>
      </c>
      <c r="C209" s="11" t="str">
        <f>'Input - Bookings'!H209</f>
        <v>VN</v>
      </c>
      <c r="D209" s="24" t="str">
        <f>'Input - Bookings'!E209</f>
        <v>067</v>
      </c>
      <c r="E209" s="24" t="str">
        <f>'Input - Bookings'!G209</f>
        <v>KY LUC CO., LTD</v>
      </c>
      <c r="F209" s="146" t="str">
        <f>'Input - Bookings'!I209</f>
        <v>H67863</v>
      </c>
      <c r="G209" s="24" t="str">
        <f>'Input - Bookings'!L209</f>
        <v>A7S4</v>
      </c>
      <c r="H209" s="24" t="str">
        <f>'Input - Bookings'!M209</f>
        <v>ERP35UX</v>
      </c>
      <c r="I209" s="24" t="str">
        <f>'Input - Bookings'!B209</f>
        <v>USD</v>
      </c>
      <c r="J209" s="13" t="str">
        <f>IF(I209="USD",INDEX('AP Plants'!A:A,MATCH(G209,'AP Plants'!D:D,0)),INDEX('Australia Plants'!A:A,MATCH(G209,'Australia Plants'!D:D,0)))</f>
        <v>Maximal</v>
      </c>
      <c r="K209" s="73">
        <v>1</v>
      </c>
      <c r="L209" s="97">
        <v>32963</v>
      </c>
      <c r="M209" s="97">
        <v>23339.8</v>
      </c>
      <c r="N209" s="99">
        <v>0.16299517186731072</v>
      </c>
      <c r="O209" s="25">
        <f t="shared" si="74"/>
        <v>0.29193944725904808</v>
      </c>
      <c r="P209" s="14">
        <f>IFERROR(IF(OR(B209&amp;C209="PAU",B209&amp;C209="AIN"),VLOOKUP(B209&amp;C209&amp;G209,#REF!,8,0),VLOOKUP(B209&amp;G209,#REF!,8,0)),0)</f>
        <v>0</v>
      </c>
      <c r="Q209" s="15">
        <f t="shared" si="72"/>
        <v>0.16299517186731072</v>
      </c>
      <c r="R209" s="16" t="str">
        <f t="shared" si="75"/>
        <v>AOP</v>
      </c>
      <c r="S209" s="17">
        <f t="shared" si="76"/>
        <v>3804.2747123486583</v>
      </c>
      <c r="T209" s="18">
        <f t="shared" si="77"/>
        <v>3804.2747123486583</v>
      </c>
      <c r="U209" s="23">
        <f t="shared" si="73"/>
        <v>23339.8</v>
      </c>
      <c r="Y209" s="8" t="str">
        <f t="shared" si="78"/>
        <v>AVNH67863ERP35UX</v>
      </c>
      <c r="Z209" s="8" t="str">
        <f>IF(Y209='Input - Bookings'!Q206,"OK","Check")</f>
        <v>Check</v>
      </c>
      <c r="AA209" s="139"/>
      <c r="AB209" s="103"/>
      <c r="AC209" s="103"/>
      <c r="AD209" s="100">
        <f>18952.4757722072+200</f>
        <v>19152.475772207199</v>
      </c>
      <c r="AE209" s="100"/>
      <c r="AF209" s="8" t="str">
        <f t="array" ref="AF209">_xlfn.XLOOKUP($G209,'AP Plants'!D:D,'AP Plants'!B:B)</f>
        <v>Class 1</v>
      </c>
      <c r="AG209" s="102"/>
      <c r="AH209" s="102">
        <f t="shared" si="65"/>
        <v>19152.475772207199</v>
      </c>
      <c r="AI209" s="44">
        <v>1.4999999999999999E-2</v>
      </c>
      <c r="AJ209" s="15">
        <f>_xlfn.XLOOKUP($AF209,Warranty!B:B,Warranty!E:E)</f>
        <v>5.0000000000000001E-3</v>
      </c>
      <c r="AK209" s="8">
        <f>IF($I209="AUD",VLOOKUP(RIGHT('Wk - Margins'!$G209,3),'AU Freight'!C:G,5,0),0)</f>
        <v>0</v>
      </c>
      <c r="AL209" s="15">
        <f t="shared" si="66"/>
        <v>0</v>
      </c>
      <c r="AM209" s="61">
        <f t="shared" si="70"/>
        <v>19535.52528765134</v>
      </c>
      <c r="AN209" s="63">
        <f t="shared" si="68"/>
        <v>0.16299517186731072</v>
      </c>
      <c r="AQ209" s="147"/>
    </row>
    <row r="210" spans="1:43">
      <c r="A210" s="10" t="str">
        <f>'Input - Bookings'!A210</f>
        <v>10-25</v>
      </c>
      <c r="B210" s="11" t="str">
        <f>'Input - Bookings'!C210</f>
        <v>A</v>
      </c>
      <c r="C210" s="11" t="str">
        <f>'Input - Bookings'!H210</f>
        <v>VN</v>
      </c>
      <c r="D210" s="24" t="str">
        <f>'Input - Bookings'!E210</f>
        <v>065</v>
      </c>
      <c r="E210" s="24" t="str">
        <f>'Input - Bookings'!G210</f>
        <v>MICO MACHINERY &amp;</v>
      </c>
      <c r="F210" s="24" t="str">
        <f>'Input - Bookings'!I210</f>
        <v>H67864</v>
      </c>
      <c r="G210" s="24" t="str">
        <f>'Input - Bookings'!L210</f>
        <v>A3C4</v>
      </c>
      <c r="H210" s="24" t="str">
        <f>'Input - Bookings'!M210</f>
        <v>J2.5UT</v>
      </c>
      <c r="I210" s="24" t="str">
        <f>'Input - Bookings'!B210</f>
        <v>USD</v>
      </c>
      <c r="J210" s="13" t="str">
        <f>IF(I210="USD",INDEX('AP Plants'!A:A,MATCH(G210,'AP Plants'!D:D,0)),INDEX('Australia Plants'!A:A,MATCH(G210,'Australia Plants'!D:D,0)))</f>
        <v>Maximal</v>
      </c>
      <c r="K210" s="73">
        <v>1</v>
      </c>
      <c r="L210" s="97">
        <v>21890</v>
      </c>
      <c r="M210" s="97">
        <v>14785.35</v>
      </c>
      <c r="N210" s="99">
        <v>0.11228757279396018</v>
      </c>
      <c r="O210" s="25">
        <f t="shared" si="74"/>
        <v>0.32456144358154404</v>
      </c>
      <c r="P210" s="14">
        <f>IFERROR(IF(OR(B210&amp;C210="PAU",B210&amp;C210="AIN"),VLOOKUP(B210&amp;C210&amp;G210,#REF!,8,0),VLOOKUP(B210&amp;G210,#REF!,8,0)),0)</f>
        <v>0</v>
      </c>
      <c r="Q210" s="15">
        <f t="shared" si="72"/>
        <v>0.11228757279396018</v>
      </c>
      <c r="R210" s="16" t="str">
        <f t="shared" si="75"/>
        <v>AOP</v>
      </c>
      <c r="S210" s="17">
        <f t="shared" si="76"/>
        <v>1660.2110644091792</v>
      </c>
      <c r="T210" s="18">
        <f t="shared" si="77"/>
        <v>1660.2110644091792</v>
      </c>
      <c r="U210" s="23">
        <f t="shared" si="73"/>
        <v>14785.35</v>
      </c>
      <c r="Y210" s="8" t="str">
        <f t="shared" si="78"/>
        <v>AVNH67864J2.5UT</v>
      </c>
      <c r="Z210" s="8" t="str">
        <f>IF(Y210='Input - Bookings'!Q207,"OK","Check")</f>
        <v>Check</v>
      </c>
      <c r="AA210" s="139"/>
      <c r="AB210" s="103"/>
      <c r="AC210" s="103"/>
      <c r="AD210" s="100">
        <v>12867.783270187083</v>
      </c>
      <c r="AE210" s="110"/>
      <c r="AF210" s="8" t="str">
        <f t="array" ref="AF210">_xlfn.XLOOKUP($G210,'AP Plants'!D:D,'AP Plants'!B:B)</f>
        <v>Class 1</v>
      </c>
      <c r="AG210" s="102"/>
      <c r="AH210" s="102">
        <f t="shared" ref="AH210:AH233" si="79">AD210</f>
        <v>12867.783270187083</v>
      </c>
      <c r="AI210" s="44">
        <v>1.4999999999999999E-2</v>
      </c>
      <c r="AJ210" s="15">
        <f>_xlfn.XLOOKUP($AF210,Warranty!B:B,Warranty!E:E)</f>
        <v>5.0000000000000001E-3</v>
      </c>
      <c r="AK210" s="8">
        <f>IF($I210="AUD",VLOOKUP(RIGHT('Wk - Margins'!$G210,3),'AU Freight'!C:G,5,0),0)</f>
        <v>0</v>
      </c>
      <c r="AL210" s="15">
        <f t="shared" ref="AL210:AL247" si="80">IF(AND($I210="AUD",$AF210="Class 5 BT"),5%,0%)</f>
        <v>0</v>
      </c>
      <c r="AM210" s="61">
        <f t="shared" si="70"/>
        <v>13125.138935590821</v>
      </c>
      <c r="AN210" s="63">
        <f t="shared" ref="AN210:AN247" si="81">1-AM210/M210</f>
        <v>0.11228757279396018</v>
      </c>
      <c r="AQ210" s="147"/>
    </row>
    <row r="211" spans="1:43">
      <c r="A211" s="10" t="str">
        <f>'Input - Bookings'!A211</f>
        <v>10-25</v>
      </c>
      <c r="B211" s="11" t="str">
        <f>'Input - Bookings'!C211</f>
        <v>A</v>
      </c>
      <c r="C211" s="11" t="str">
        <f>'Input - Bookings'!H211</f>
        <v>VN</v>
      </c>
      <c r="D211" s="24" t="str">
        <f>'Input - Bookings'!E211</f>
        <v>065</v>
      </c>
      <c r="E211" s="24" t="str">
        <f>'Input - Bookings'!G211</f>
        <v>MICO MACHINERY &amp;</v>
      </c>
      <c r="F211" s="24" t="str">
        <f>'Input - Bookings'!I211</f>
        <v>H67865</v>
      </c>
      <c r="G211" s="24" t="str">
        <f>'Input - Bookings'!L211</f>
        <v>A3C4</v>
      </c>
      <c r="H211" s="24" t="str">
        <f>'Input - Bookings'!M211</f>
        <v>J2.5UT</v>
      </c>
      <c r="I211" s="24" t="str">
        <f>'Input - Bookings'!B211</f>
        <v>USD</v>
      </c>
      <c r="J211" s="13" t="str">
        <f>IF(I211="USD",INDEX('AP Plants'!A:A,MATCH(G211,'AP Plants'!D:D,0)),INDEX('Australia Plants'!A:A,MATCH(G211,'Australia Plants'!D:D,0)))</f>
        <v>Maximal</v>
      </c>
      <c r="K211" s="73">
        <v>1</v>
      </c>
      <c r="L211" s="97">
        <v>21890</v>
      </c>
      <c r="M211" s="97">
        <v>14785.35</v>
      </c>
      <c r="N211" s="99">
        <v>0.11228757279396018</v>
      </c>
      <c r="O211" s="25">
        <f t="shared" si="74"/>
        <v>0.32456144358154404</v>
      </c>
      <c r="P211" s="14">
        <f>IFERROR(IF(OR(B211&amp;C211="PAU",B211&amp;C211="AIN"),VLOOKUP(B211&amp;C211&amp;G211,#REF!,8,0),VLOOKUP(B211&amp;G211,#REF!,8,0)),0)</f>
        <v>0</v>
      </c>
      <c r="Q211" s="15">
        <f t="shared" si="72"/>
        <v>0.11228757279396018</v>
      </c>
      <c r="R211" s="16" t="str">
        <f t="shared" si="75"/>
        <v>AOP</v>
      </c>
      <c r="S211" s="17">
        <f t="shared" si="76"/>
        <v>1660.2110644091792</v>
      </c>
      <c r="T211" s="18">
        <f t="shared" si="77"/>
        <v>1660.2110644091792</v>
      </c>
      <c r="U211" s="23">
        <f t="shared" si="73"/>
        <v>14785.35</v>
      </c>
      <c r="Y211" s="8" t="str">
        <f t="shared" si="78"/>
        <v>AVNH67865J2.5UT</v>
      </c>
      <c r="Z211" s="8" t="str">
        <f>IF(Y211='Input - Bookings'!Q208,"OK","Check")</f>
        <v>Check</v>
      </c>
      <c r="AA211" s="139"/>
      <c r="AB211" s="103"/>
      <c r="AC211" s="103"/>
      <c r="AD211" s="100">
        <v>12867.783270187083</v>
      </c>
      <c r="AE211" s="110"/>
      <c r="AF211" s="8" t="str">
        <f t="array" ref="AF211">_xlfn.XLOOKUP($G211,'AP Plants'!D:D,'AP Plants'!B:B)</f>
        <v>Class 1</v>
      </c>
      <c r="AG211" s="102"/>
      <c r="AH211" s="102">
        <f t="shared" si="79"/>
        <v>12867.783270187083</v>
      </c>
      <c r="AI211" s="44">
        <v>1.4999999999999999E-2</v>
      </c>
      <c r="AJ211" s="15">
        <f>_xlfn.XLOOKUP($AF211,Warranty!B:B,Warranty!E:E)</f>
        <v>5.0000000000000001E-3</v>
      </c>
      <c r="AK211" s="8">
        <f>IF($I211="AUD",VLOOKUP(RIGHT('Wk - Margins'!$G211,3),'AU Freight'!C:G,5,0),0)</f>
        <v>0</v>
      </c>
      <c r="AL211" s="15">
        <f t="shared" si="80"/>
        <v>0</v>
      </c>
      <c r="AM211" s="61">
        <f t="shared" si="70"/>
        <v>13125.138935590821</v>
      </c>
      <c r="AN211" s="63">
        <f t="shared" si="81"/>
        <v>0.11228757279396018</v>
      </c>
      <c r="AQ211" s="147"/>
    </row>
    <row r="212" spans="1:43">
      <c r="A212" s="10" t="str">
        <f>'Input - Bookings'!A212</f>
        <v>10-25</v>
      </c>
      <c r="B212" s="11" t="str">
        <f>'Input - Bookings'!C212</f>
        <v>A</v>
      </c>
      <c r="C212" s="11" t="str">
        <f>'Input - Bookings'!H212</f>
        <v>VN</v>
      </c>
      <c r="D212" s="24" t="str">
        <f>'Input - Bookings'!E212</f>
        <v>065</v>
      </c>
      <c r="E212" s="24" t="str">
        <f>'Input - Bookings'!G212</f>
        <v>MICO MACHINERY &amp;</v>
      </c>
      <c r="F212" s="24" t="str">
        <f>'Input - Bookings'!I212</f>
        <v>H67866</v>
      </c>
      <c r="G212" s="24" t="str">
        <f>'Input - Bookings'!L212</f>
        <v>A3C4</v>
      </c>
      <c r="H212" s="24" t="str">
        <f>'Input - Bookings'!M212</f>
        <v>J2.5UT</v>
      </c>
      <c r="I212" s="24" t="str">
        <f>'Input - Bookings'!B212</f>
        <v>USD</v>
      </c>
      <c r="J212" s="13" t="str">
        <f>IF(I212="USD",INDEX('AP Plants'!A:A,MATCH(G212,'AP Plants'!D:D,0)),INDEX('Australia Plants'!A:A,MATCH(G212,'Australia Plants'!D:D,0)))</f>
        <v>Maximal</v>
      </c>
      <c r="K212" s="73">
        <v>1</v>
      </c>
      <c r="L212" s="97">
        <v>21890</v>
      </c>
      <c r="M212" s="97">
        <v>14785.35</v>
      </c>
      <c r="N212" s="99">
        <v>0.11228757279396018</v>
      </c>
      <c r="O212" s="25">
        <f t="shared" si="74"/>
        <v>0.32456144358154404</v>
      </c>
      <c r="P212" s="14">
        <f>IFERROR(IF(OR(B212&amp;C212="PAU",B212&amp;C212="AIN"),VLOOKUP(B212&amp;C212&amp;G212,#REF!,8,0),VLOOKUP(B212&amp;G212,#REF!,8,0)),0)</f>
        <v>0</v>
      </c>
      <c r="Q212" s="15">
        <f t="shared" si="72"/>
        <v>0.11228757279396018</v>
      </c>
      <c r="R212" s="16" t="str">
        <f t="shared" si="75"/>
        <v>AOP</v>
      </c>
      <c r="S212" s="17">
        <f t="shared" si="76"/>
        <v>1660.2110644091792</v>
      </c>
      <c r="T212" s="18">
        <f t="shared" si="77"/>
        <v>1660.2110644091792</v>
      </c>
      <c r="U212" s="23">
        <f t="shared" si="73"/>
        <v>14785.35</v>
      </c>
      <c r="Y212" s="8" t="str">
        <f t="shared" si="78"/>
        <v>AVNH67866J2.5UT</v>
      </c>
      <c r="Z212" s="8" t="str">
        <f>IF(Y212='Input - Bookings'!Q209,"OK","Check")</f>
        <v>Check</v>
      </c>
      <c r="AA212" s="139"/>
      <c r="AB212" s="103"/>
      <c r="AC212" s="103"/>
      <c r="AD212" s="100">
        <v>12867.783270187083</v>
      </c>
      <c r="AE212" s="110"/>
      <c r="AF212" s="8" t="str">
        <f t="array" ref="AF212">_xlfn.XLOOKUP($G212,'AP Plants'!D:D,'AP Plants'!B:B)</f>
        <v>Class 1</v>
      </c>
      <c r="AG212" s="102"/>
      <c r="AH212" s="102">
        <f t="shared" si="79"/>
        <v>12867.783270187083</v>
      </c>
      <c r="AI212" s="44">
        <v>1.4999999999999999E-2</v>
      </c>
      <c r="AJ212" s="15">
        <f>_xlfn.XLOOKUP($AF212,Warranty!B:B,Warranty!E:E)</f>
        <v>5.0000000000000001E-3</v>
      </c>
      <c r="AK212" s="8">
        <f>IF($I212="AUD",VLOOKUP(RIGHT('Wk - Margins'!$G212,3),'AU Freight'!C:G,5,0),0)</f>
        <v>0</v>
      </c>
      <c r="AL212" s="15">
        <f t="shared" si="80"/>
        <v>0</v>
      </c>
      <c r="AM212" s="61">
        <f t="shared" si="70"/>
        <v>13125.138935590821</v>
      </c>
      <c r="AN212" s="63">
        <f t="shared" si="81"/>
        <v>0.11228757279396018</v>
      </c>
      <c r="AQ212" s="147"/>
    </row>
    <row r="213" spans="1:43">
      <c r="A213" s="10" t="str">
        <f>'Input - Bookings'!A213</f>
        <v>10-26</v>
      </c>
      <c r="B213" s="11" t="str">
        <f>'Input - Bookings'!C213</f>
        <v>A</v>
      </c>
      <c r="C213" s="11" t="str">
        <f>'Input - Bookings'!H213</f>
        <v>TH</v>
      </c>
      <c r="D213" s="24" t="str">
        <f>'Input - Bookings'!E213</f>
        <v>067</v>
      </c>
      <c r="E213" s="24" t="str">
        <f>'Input - Bookings'!G213</f>
        <v>JENBUNJERD CO LTD</v>
      </c>
      <c r="F213" s="24" t="str">
        <f>'Input - Bookings'!I213</f>
        <v>H68223</v>
      </c>
      <c r="G213" s="24" t="str">
        <f>'Input - Bookings'!L213</f>
        <v>D871</v>
      </c>
      <c r="H213" s="24" t="str">
        <f>'Input - Bookings'!M213</f>
        <v>GP30MX</v>
      </c>
      <c r="I213" s="24" t="str">
        <f>'Input - Bookings'!B213</f>
        <v>USD</v>
      </c>
      <c r="J213" s="13" t="str">
        <f>IF(I213="USD",INDEX('AP Plants'!A:A,MATCH(G213,'AP Plants'!D:D,0)),INDEX('Australia Plants'!A:A,MATCH(G213,'Australia Plants'!D:D,0)))</f>
        <v>SN</v>
      </c>
      <c r="K213" s="73">
        <v>1</v>
      </c>
      <c r="L213" s="97">
        <v>33965</v>
      </c>
      <c r="M213" s="97">
        <v>21155.899999999998</v>
      </c>
      <c r="N213" s="99">
        <v>0.18832515845077091</v>
      </c>
      <c r="O213" s="25">
        <f t="shared" si="74"/>
        <v>0.37712645370234066</v>
      </c>
      <c r="P213" s="14">
        <f>IFERROR(IF(OR(B213&amp;C213="PAU",B213&amp;C213="AIN"),VLOOKUP(B213&amp;C213&amp;G213,#REF!,8,0),VLOOKUP(B213&amp;G213,#REF!,8,0)),0)</f>
        <v>0</v>
      </c>
      <c r="Q213" s="15">
        <f t="shared" si="72"/>
        <v>0.18832515845077091</v>
      </c>
      <c r="R213" s="16" t="str">
        <f t="shared" si="75"/>
        <v>AOP</v>
      </c>
      <c r="S213" s="17">
        <f t="shared" si="76"/>
        <v>3984.1882196686638</v>
      </c>
      <c r="T213" s="18">
        <f t="shared" si="77"/>
        <v>3984.1882196686638</v>
      </c>
      <c r="U213" s="23">
        <f t="shared" si="73"/>
        <v>21155.899999999998</v>
      </c>
      <c r="Y213" s="8" t="str">
        <f t="shared" si="78"/>
        <v>ATHH68223GP30MX</v>
      </c>
      <c r="Z213" s="8" t="str">
        <f>IF(Y213='Input - Bookings'!Q210,"OK","Check")</f>
        <v>Check</v>
      </c>
      <c r="AA213" s="139"/>
      <c r="AB213" s="103"/>
      <c r="AC213" s="103"/>
      <c r="AD213" s="100">
        <v>16835.01154934445</v>
      </c>
      <c r="AE213" s="100"/>
      <c r="AF213" s="8" t="str">
        <f t="array" ref="AF213">_xlfn.XLOOKUP($G213,'AP Plants'!D:D,'AP Plants'!B:B)</f>
        <v>Class 5 NOT BT</v>
      </c>
      <c r="AG213" s="102"/>
      <c r="AH213" s="102">
        <f t="shared" si="79"/>
        <v>16835.01154934445</v>
      </c>
      <c r="AI213" s="44">
        <v>1.4999999999999999E-2</v>
      </c>
      <c r="AJ213" s="15">
        <f>_xlfn.XLOOKUP($AF213,Warranty!B:B,Warranty!E:E)</f>
        <v>5.0000000000000001E-3</v>
      </c>
      <c r="AK213" s="8">
        <f>IF($I213="AUD",VLOOKUP(RIGHT('Wk - Margins'!$G213,3),'AU Freight'!C:G,5,0),0)</f>
        <v>0</v>
      </c>
      <c r="AL213" s="15">
        <f t="shared" si="80"/>
        <v>0</v>
      </c>
      <c r="AM213" s="61">
        <f t="shared" si="70"/>
        <v>17171.711780331334</v>
      </c>
      <c r="AN213" s="63">
        <f t="shared" si="81"/>
        <v>0.18832515845077091</v>
      </c>
      <c r="AQ213" s="147"/>
    </row>
    <row r="214" spans="1:43">
      <c r="A214" s="10" t="str">
        <f>'Input - Bookings'!A214</f>
        <v>10-26</v>
      </c>
      <c r="B214" s="11" t="str">
        <f>'Input - Bookings'!C214</f>
        <v>A</v>
      </c>
      <c r="C214" s="11" t="str">
        <f>'Input - Bookings'!H214</f>
        <v>TH</v>
      </c>
      <c r="D214" s="24" t="str">
        <f>'Input - Bookings'!E214</f>
        <v>067</v>
      </c>
      <c r="E214" s="24" t="str">
        <f>'Input - Bookings'!G214</f>
        <v>JENBUNJERD CO LTD</v>
      </c>
      <c r="F214" s="24" t="str">
        <f>'Input - Bookings'!I214</f>
        <v>H68222</v>
      </c>
      <c r="G214" s="24" t="str">
        <f>'Input - Bookings'!L214</f>
        <v>D871</v>
      </c>
      <c r="H214" s="24" t="str">
        <f>'Input - Bookings'!M214</f>
        <v>GP25MX</v>
      </c>
      <c r="I214" s="24" t="str">
        <f>'Input - Bookings'!B214</f>
        <v>USD</v>
      </c>
      <c r="J214" s="13" t="str">
        <f>IF(I214="USD",INDEX('AP Plants'!A:A,MATCH(G214,'AP Plants'!D:D,0)),INDEX('Australia Plants'!A:A,MATCH(G214,'Australia Plants'!D:D,0)))</f>
        <v>SN</v>
      </c>
      <c r="K214" s="73">
        <v>1</v>
      </c>
      <c r="L214" s="97">
        <v>30165</v>
      </c>
      <c r="M214" s="97">
        <v>18721.849999999999</v>
      </c>
      <c r="N214" s="99">
        <v>0.14633902153302192</v>
      </c>
      <c r="O214" s="25">
        <f t="shared" si="74"/>
        <v>0.37935189789491142</v>
      </c>
      <c r="P214" s="14">
        <f>IFERROR(IF(OR(B214&amp;C214="PAU",B214&amp;C214="AIN"),VLOOKUP(B214&amp;C214&amp;G214,#REF!,8,0),VLOOKUP(B214&amp;G214,#REF!,8,0)),0)</f>
        <v>0</v>
      </c>
      <c r="Q214" s="15">
        <f t="shared" si="72"/>
        <v>0.14633902153302192</v>
      </c>
      <c r="R214" s="16" t="str">
        <f t="shared" si="75"/>
        <v>AOP</v>
      </c>
      <c r="S214" s="17">
        <f t="shared" si="76"/>
        <v>2739.7372102880063</v>
      </c>
      <c r="T214" s="18">
        <f t="shared" si="77"/>
        <v>2739.7372102880063</v>
      </c>
      <c r="U214" s="23">
        <f t="shared" si="73"/>
        <v>18721.849999999999</v>
      </c>
      <c r="Y214" s="8" t="str">
        <f t="shared" si="78"/>
        <v>ATHH68222GP25MX</v>
      </c>
      <c r="Z214" s="8" t="str">
        <f>IF(Y214='Input - Bookings'!Q211,"OK","Check")</f>
        <v>Check</v>
      </c>
      <c r="AA214" s="118"/>
      <c r="AB214" s="103"/>
      <c r="AC214" s="103"/>
      <c r="AD214" s="100">
        <v>15668.738029129407</v>
      </c>
      <c r="AE214" s="100"/>
      <c r="AF214" s="8" t="str">
        <f t="array" ref="AF214">_xlfn.XLOOKUP($G214,'AP Plants'!D:D,'AP Plants'!B:B)</f>
        <v>Class 5 NOT BT</v>
      </c>
      <c r="AG214" s="102"/>
      <c r="AH214" s="102">
        <f t="shared" si="79"/>
        <v>15668.738029129407</v>
      </c>
      <c r="AI214" s="44">
        <v>1.4999999999999999E-2</v>
      </c>
      <c r="AJ214" s="15">
        <f>_xlfn.XLOOKUP($AF214,Warranty!B:B,Warranty!E:E)</f>
        <v>5.0000000000000001E-3</v>
      </c>
      <c r="AK214" s="8">
        <f>IF($I214="AUD",VLOOKUP(RIGHT('Wk - Margins'!$G214,3),'AU Freight'!C:G,5,0),0)</f>
        <v>0</v>
      </c>
      <c r="AL214" s="15">
        <f t="shared" si="80"/>
        <v>0</v>
      </c>
      <c r="AM214" s="61">
        <f t="shared" si="70"/>
        <v>15982.112789711991</v>
      </c>
      <c r="AN214" s="63">
        <f t="shared" si="81"/>
        <v>0.14633902153302192</v>
      </c>
      <c r="AQ214" s="147"/>
    </row>
    <row r="215" spans="1:43">
      <c r="A215" s="10" t="str">
        <f>'Input - Bookings'!A215</f>
        <v>10-27</v>
      </c>
      <c r="B215" s="11" t="str">
        <f>'Input - Bookings'!C215</f>
        <v>A</v>
      </c>
      <c r="C215" s="11" t="str">
        <f>'Input - Bookings'!H215</f>
        <v>IN</v>
      </c>
      <c r="D215" s="24" t="str">
        <f>'Input - Bookings'!E215</f>
        <v>067</v>
      </c>
      <c r="E215" s="24" t="str">
        <f>'Input - Bookings'!G215</f>
        <v>ELECTROMECH LIFT TRUCKS</v>
      </c>
      <c r="F215" s="24" t="str">
        <f>'Input - Bookings'!I215</f>
        <v>H68638</v>
      </c>
      <c r="G215" s="24" t="str">
        <f>'Input - Bookings'!L215</f>
        <v>A7R6</v>
      </c>
      <c r="H215" s="24" t="str">
        <f>'Input - Bookings'!M215</f>
        <v>MSL15WUX</v>
      </c>
      <c r="I215" s="24" t="str">
        <f>'Input - Bookings'!B215</f>
        <v>USD</v>
      </c>
      <c r="J215" s="13" t="str">
        <f>IF(I215="USD",INDEX('AP Plants'!A:A,MATCH(G215,'AP Plants'!D:D,0)),INDEX('Australia Plants'!A:A,MATCH(G215,'Australia Plants'!D:D,0)))</f>
        <v>Ruyi</v>
      </c>
      <c r="K215" s="73">
        <v>1</v>
      </c>
      <c r="L215" s="97">
        <v>11070</v>
      </c>
      <c r="M215" s="97">
        <v>7314</v>
      </c>
      <c r="N215" s="99">
        <v>0.30258591792423584</v>
      </c>
      <c r="O215" s="25">
        <f t="shared" si="74"/>
        <v>0.33929539295392952</v>
      </c>
      <c r="P215" s="14">
        <f>IFERROR(IF(OR(B215&amp;C215="PAU",B215&amp;C215="AIN"),VLOOKUP(B215&amp;C215&amp;G215,#REF!,8,0),VLOOKUP(B215&amp;G215,#REF!,8,0)),0)</f>
        <v>0</v>
      </c>
      <c r="Q215" s="15">
        <f t="shared" si="72"/>
        <v>0.30258591792423584</v>
      </c>
      <c r="R215" s="16" t="str">
        <f t="shared" si="75"/>
        <v>AOP</v>
      </c>
      <c r="S215" s="17">
        <f t="shared" si="76"/>
        <v>2213.113403697861</v>
      </c>
      <c r="T215" s="18">
        <f t="shared" si="77"/>
        <v>2213.113403697861</v>
      </c>
      <c r="U215" s="23">
        <f t="shared" si="73"/>
        <v>7314</v>
      </c>
      <c r="Y215" s="8" t="str">
        <f t="shared" si="78"/>
        <v>AINH68638MSL15WUX</v>
      </c>
      <c r="Z215" s="8" t="str">
        <f>IF(Y215='Input - Bookings'!Q212,"OK","Check")</f>
        <v>Check</v>
      </c>
      <c r="AA215" s="139"/>
      <c r="AB215" s="103"/>
      <c r="AC215" s="103"/>
      <c r="AD215" s="100">
        <v>4952.3170837884854</v>
      </c>
      <c r="AE215" s="100"/>
      <c r="AF215" s="8" t="str">
        <f t="array" ref="AF215">_xlfn.XLOOKUP($G215,'AP Plants'!D:D,'AP Plants'!B:B)</f>
        <v>Class 3</v>
      </c>
      <c r="AG215" s="102"/>
      <c r="AH215" s="102">
        <f t="shared" si="79"/>
        <v>4952.3170837884854</v>
      </c>
      <c r="AI215" s="44">
        <v>1.4999999999999999E-2</v>
      </c>
      <c r="AJ215" s="15">
        <f>_xlfn.XLOOKUP($AF215,Warranty!B:B,Warranty!E:E)</f>
        <v>1.4999999999999999E-2</v>
      </c>
      <c r="AK215" s="8">
        <f>IF($I215="AUD",VLOOKUP(RIGHT('Wk - Margins'!$G215,3),'AU Freight'!C:G,5,0),0)</f>
        <v>0</v>
      </c>
      <c r="AL215" s="15">
        <f t="shared" si="80"/>
        <v>0</v>
      </c>
      <c r="AM215" s="61">
        <f t="shared" si="70"/>
        <v>5100.886596302139</v>
      </c>
      <c r="AN215" s="63">
        <f t="shared" si="81"/>
        <v>0.30258591792423584</v>
      </c>
      <c r="AQ215" s="147"/>
    </row>
    <row r="216" spans="1:43">
      <c r="A216" s="10" t="str">
        <f>'Input - Bookings'!A216</f>
        <v>10-27</v>
      </c>
      <c r="B216" s="11" t="str">
        <f>'Input - Bookings'!C216</f>
        <v>A</v>
      </c>
      <c r="C216" s="11" t="str">
        <f>'Input - Bookings'!H216</f>
        <v>ID</v>
      </c>
      <c r="D216" s="24" t="str">
        <f>'Input - Bookings'!E216</f>
        <v>067</v>
      </c>
      <c r="E216" s="24" t="str">
        <f>'Input - Bookings'!G216</f>
        <v>PT UNIVERSAL TRAKTOR</v>
      </c>
      <c r="F216" s="24" t="str">
        <f>'Input - Bookings'!I216</f>
        <v>H68657</v>
      </c>
      <c r="G216" s="24" t="str">
        <f>'Input - Bookings'!L216</f>
        <v>C900</v>
      </c>
      <c r="H216" s="24" t="str">
        <f>'Input - Bookings'!M216</f>
        <v>FBR18WZ</v>
      </c>
      <c r="I216" s="24" t="str">
        <f>'Input - Bookings'!B216</f>
        <v>USD</v>
      </c>
      <c r="J216" s="13" t="str">
        <f>IF(I216="USD",INDEX('AP Plants'!A:A,MATCH(G216,'AP Plants'!D:D,0)),INDEX('Australia Plants'!A:A,MATCH(G216,'Australia Plants'!D:D,0)))</f>
        <v>SN</v>
      </c>
      <c r="K216" s="73">
        <v>1</v>
      </c>
      <c r="L216" s="97">
        <v>31345</v>
      </c>
      <c r="M216" s="97">
        <v>19672.07</v>
      </c>
      <c r="N216" s="99">
        <v>0.16508231641638271</v>
      </c>
      <c r="O216" s="25">
        <f t="shared" si="74"/>
        <v>0.37240165895677146</v>
      </c>
      <c r="P216" s="14">
        <f>IFERROR(IF(OR(B216&amp;C216="PAU",B216&amp;C216="AIN"),VLOOKUP(B216&amp;C216&amp;G216,#REF!,8,0),VLOOKUP(B216&amp;G216,#REF!,8,0)),0)</f>
        <v>0</v>
      </c>
      <c r="Q216" s="15">
        <f t="shared" si="72"/>
        <v>0.16508231641638271</v>
      </c>
      <c r="R216" s="16" t="str">
        <f t="shared" si="75"/>
        <v>AOP</v>
      </c>
      <c r="S216" s="17">
        <f t="shared" si="76"/>
        <v>3247.5108843052299</v>
      </c>
      <c r="T216" s="18">
        <f t="shared" si="77"/>
        <v>3247.5108843052299</v>
      </c>
      <c r="U216" s="23">
        <f t="shared" si="73"/>
        <v>19672.07</v>
      </c>
      <c r="Y216" s="8" t="str">
        <f t="shared" si="78"/>
        <v>AIDH68657FBR18WZ</v>
      </c>
      <c r="Z216" s="8" t="str">
        <f>IF(Y216='Input - Bookings'!Q213,"OK","Check")</f>
        <v>Check</v>
      </c>
      <c r="AA216" s="139" t="s">
        <v>1714</v>
      </c>
      <c r="AB216" s="103"/>
      <c r="AC216" s="103"/>
      <c r="AD216" s="100">
        <v>15946.173898732788</v>
      </c>
      <c r="AE216" s="100"/>
      <c r="AF216" s="8" t="str">
        <f t="array" ref="AF216">_xlfn.XLOOKUP($G216,'AP Plants'!D:D,'AP Plants'!B:B)</f>
        <v>Class 2</v>
      </c>
      <c r="AG216" s="102"/>
      <c r="AH216" s="102">
        <f t="shared" si="79"/>
        <v>15946.173898732788</v>
      </c>
      <c r="AI216" s="44">
        <v>1.4999999999999999E-2</v>
      </c>
      <c r="AJ216" s="15">
        <f>_xlfn.XLOOKUP($AF216,Warranty!B:B,Warranty!E:E)</f>
        <v>1.4999999999999999E-2</v>
      </c>
      <c r="AK216" s="8">
        <f>IF($I216="AUD",VLOOKUP(RIGHT('Wk - Margins'!$G216,3),'AU Freight'!C:G,5,0),0)</f>
        <v>0</v>
      </c>
      <c r="AL216" s="15">
        <f t="shared" si="80"/>
        <v>0</v>
      </c>
      <c r="AM216" s="61">
        <f t="shared" si="70"/>
        <v>16424.55911569477</v>
      </c>
      <c r="AN216" s="63">
        <f t="shared" si="81"/>
        <v>0.16508231641638271</v>
      </c>
      <c r="AQ216" s="147"/>
    </row>
    <row r="217" spans="1:43">
      <c r="A217" s="10" t="str">
        <f>'Input - Bookings'!A217</f>
        <v>10-27</v>
      </c>
      <c r="B217" s="11" t="str">
        <f>'Input - Bookings'!C217</f>
        <v>A</v>
      </c>
      <c r="C217" s="11" t="str">
        <f>'Input - Bookings'!H217</f>
        <v>ID</v>
      </c>
      <c r="D217" s="24" t="str">
        <f>'Input - Bookings'!E217</f>
        <v>067</v>
      </c>
      <c r="E217" s="24" t="str">
        <f>'Input - Bookings'!G217</f>
        <v>PT UNIVERSAL TRAKTOR</v>
      </c>
      <c r="F217" s="24" t="str">
        <f>'Input - Bookings'!I217</f>
        <v>H68656</v>
      </c>
      <c r="G217" s="24" t="str">
        <f>'Input - Bookings'!L217</f>
        <v>C900</v>
      </c>
      <c r="H217" s="24" t="str">
        <f>'Input - Bookings'!M217</f>
        <v>FBR18WZ</v>
      </c>
      <c r="I217" s="24" t="str">
        <f>'Input - Bookings'!B217</f>
        <v>USD</v>
      </c>
      <c r="J217" s="13" t="str">
        <f>IF(I217="USD",INDEX('AP Plants'!A:A,MATCH(G217,'AP Plants'!D:D,0)),INDEX('Australia Plants'!A:A,MATCH(G217,'Australia Plants'!D:D,0)))</f>
        <v>SN</v>
      </c>
      <c r="K217" s="73">
        <v>1</v>
      </c>
      <c r="L217" s="97">
        <v>31345</v>
      </c>
      <c r="M217" s="97">
        <v>19672.07</v>
      </c>
      <c r="N217" s="99">
        <v>0.16508231641638271</v>
      </c>
      <c r="O217" s="25">
        <f t="shared" si="74"/>
        <v>0.37240165895677146</v>
      </c>
      <c r="P217" s="14">
        <f>IFERROR(IF(OR(B217&amp;C217="PAU",B217&amp;C217="AIN"),VLOOKUP(B217&amp;C217&amp;G217,#REF!,8,0),VLOOKUP(B217&amp;G217,#REF!,8,0)),0)</f>
        <v>0</v>
      </c>
      <c r="Q217" s="15">
        <f t="shared" si="72"/>
        <v>0.16508231641638271</v>
      </c>
      <c r="R217" s="16" t="str">
        <f t="shared" si="75"/>
        <v>AOP</v>
      </c>
      <c r="S217" s="17">
        <f t="shared" si="76"/>
        <v>3247.5108843052299</v>
      </c>
      <c r="T217" s="18">
        <f t="shared" si="77"/>
        <v>3247.5108843052299</v>
      </c>
      <c r="U217" s="23">
        <f t="shared" si="73"/>
        <v>19672.07</v>
      </c>
      <c r="Y217" s="8" t="str">
        <f t="shared" si="78"/>
        <v>AIDH68656FBR18WZ</v>
      </c>
      <c r="Z217" s="8" t="str">
        <f>IF(Y217='Input - Bookings'!Q214,"OK","Check")</f>
        <v>Check</v>
      </c>
      <c r="AA217" s="139" t="s">
        <v>1714</v>
      </c>
      <c r="AB217" s="103"/>
      <c r="AC217" s="103"/>
      <c r="AD217" s="100">
        <v>15946.173898732788</v>
      </c>
      <c r="AE217" s="100"/>
      <c r="AF217" s="8" t="str">
        <f t="array" ref="AF217">_xlfn.XLOOKUP($G217,'AP Plants'!D:D,'AP Plants'!B:B)</f>
        <v>Class 2</v>
      </c>
      <c r="AG217" s="102"/>
      <c r="AH217" s="102">
        <f t="shared" si="79"/>
        <v>15946.173898732788</v>
      </c>
      <c r="AI217" s="44">
        <v>1.4999999999999999E-2</v>
      </c>
      <c r="AJ217" s="15">
        <f>_xlfn.XLOOKUP($AF217,Warranty!B:B,Warranty!E:E)</f>
        <v>1.4999999999999999E-2</v>
      </c>
      <c r="AK217" s="8">
        <f>IF($I217="AUD",VLOOKUP(RIGHT('Wk - Margins'!$G217,3),'AU Freight'!C:G,5,0),0)</f>
        <v>0</v>
      </c>
      <c r="AL217" s="15">
        <f t="shared" si="80"/>
        <v>0</v>
      </c>
      <c r="AM217" s="61">
        <f t="shared" si="70"/>
        <v>16424.55911569477</v>
      </c>
      <c r="AN217" s="63">
        <f t="shared" si="81"/>
        <v>0.16508231641638271</v>
      </c>
      <c r="AQ217" s="147"/>
    </row>
    <row r="218" spans="1:43">
      <c r="A218" s="10" t="str">
        <f>'Input - Bookings'!A218</f>
        <v>10-27</v>
      </c>
      <c r="B218" s="11" t="str">
        <f>'Input - Bookings'!C218</f>
        <v>A</v>
      </c>
      <c r="C218" s="11" t="str">
        <f>'Input - Bookings'!H218</f>
        <v>ID</v>
      </c>
      <c r="D218" s="24" t="str">
        <f>'Input - Bookings'!E218</f>
        <v>067</v>
      </c>
      <c r="E218" s="24" t="str">
        <f>'Input - Bookings'!G218</f>
        <v>PT UNIVERSAL TRAKTOR</v>
      </c>
      <c r="F218" s="24" t="str">
        <f>'Input - Bookings'!I218</f>
        <v>H68655</v>
      </c>
      <c r="G218" s="24" t="str">
        <f>'Input - Bookings'!L218</f>
        <v>C900</v>
      </c>
      <c r="H218" s="24" t="str">
        <f>'Input - Bookings'!M218</f>
        <v>FBR18WZ</v>
      </c>
      <c r="I218" s="24" t="str">
        <f>'Input - Bookings'!B218</f>
        <v>USD</v>
      </c>
      <c r="J218" s="13" t="str">
        <f>IF(I218="USD",INDEX('AP Plants'!A:A,MATCH(G218,'AP Plants'!D:D,0)),INDEX('Australia Plants'!A:A,MATCH(G218,'Australia Plants'!D:D,0)))</f>
        <v>SN</v>
      </c>
      <c r="K218" s="73">
        <v>1</v>
      </c>
      <c r="L218" s="97">
        <v>31345</v>
      </c>
      <c r="M218" s="97">
        <v>19672.07</v>
      </c>
      <c r="N218" s="99">
        <v>0.16508231641638271</v>
      </c>
      <c r="O218" s="25">
        <f t="shared" si="74"/>
        <v>0.37240165895677146</v>
      </c>
      <c r="P218" s="14">
        <f>IFERROR(IF(OR(B218&amp;C218="PAU",B218&amp;C218="AIN"),VLOOKUP(B218&amp;C218&amp;G218,#REF!,8,0),VLOOKUP(B218&amp;G218,#REF!,8,0)),0)</f>
        <v>0</v>
      </c>
      <c r="Q218" s="15">
        <f t="shared" si="72"/>
        <v>0.16508231641638271</v>
      </c>
      <c r="R218" s="16" t="str">
        <f t="shared" si="75"/>
        <v>AOP</v>
      </c>
      <c r="S218" s="17">
        <f t="shared" si="76"/>
        <v>3247.5108843052299</v>
      </c>
      <c r="T218" s="18">
        <f t="shared" si="77"/>
        <v>3247.5108843052299</v>
      </c>
      <c r="U218" s="23">
        <f t="shared" si="73"/>
        <v>19672.07</v>
      </c>
      <c r="Y218" s="8" t="str">
        <f t="shared" si="78"/>
        <v>AIDH68655FBR18WZ</v>
      </c>
      <c r="Z218" s="8" t="str">
        <f>IF(Y218='Input - Bookings'!Q215,"OK","Check")</f>
        <v>Check</v>
      </c>
      <c r="AA218" s="139" t="s">
        <v>1714</v>
      </c>
      <c r="AB218" s="103"/>
      <c r="AC218" s="103"/>
      <c r="AD218" s="100">
        <v>15946.173898732788</v>
      </c>
      <c r="AE218" s="100"/>
      <c r="AF218" s="8" t="str">
        <f t="array" ref="AF218">_xlfn.XLOOKUP($G218,'AP Plants'!D:D,'AP Plants'!B:B)</f>
        <v>Class 2</v>
      </c>
      <c r="AG218" s="102"/>
      <c r="AH218" s="102">
        <f t="shared" si="79"/>
        <v>15946.173898732788</v>
      </c>
      <c r="AI218" s="44">
        <v>1.4999999999999999E-2</v>
      </c>
      <c r="AJ218" s="15">
        <f>_xlfn.XLOOKUP($AF218,Warranty!B:B,Warranty!E:E)</f>
        <v>1.4999999999999999E-2</v>
      </c>
      <c r="AK218" s="8">
        <f>IF($I218="AUD",VLOOKUP(RIGHT('Wk - Margins'!$G218,3),'AU Freight'!C:G,5,0),0)</f>
        <v>0</v>
      </c>
      <c r="AL218" s="15">
        <f t="shared" si="80"/>
        <v>0</v>
      </c>
      <c r="AM218" s="61">
        <f t="shared" si="70"/>
        <v>16424.55911569477</v>
      </c>
      <c r="AN218" s="63">
        <f t="shared" si="81"/>
        <v>0.16508231641638271</v>
      </c>
      <c r="AQ218" s="147"/>
    </row>
    <row r="219" spans="1:43">
      <c r="A219" s="10" t="str">
        <f>'Input - Bookings'!A219</f>
        <v>10-27</v>
      </c>
      <c r="B219" s="11" t="str">
        <f>'Input - Bookings'!C219</f>
        <v>A</v>
      </c>
      <c r="C219" s="11" t="str">
        <f>'Input - Bookings'!H219</f>
        <v>ID</v>
      </c>
      <c r="D219" s="24" t="str">
        <f>'Input - Bookings'!E219</f>
        <v>067</v>
      </c>
      <c r="E219" s="24" t="str">
        <f>'Input - Bookings'!G219</f>
        <v>PT UNIVERSAL TRAKTOR</v>
      </c>
      <c r="F219" s="24" t="str">
        <f>'Input - Bookings'!I219</f>
        <v>H68654</v>
      </c>
      <c r="G219" s="24" t="str">
        <f>'Input - Bookings'!L219</f>
        <v>C900</v>
      </c>
      <c r="H219" s="24" t="str">
        <f>'Input - Bookings'!M219</f>
        <v>FBR18WZ</v>
      </c>
      <c r="I219" s="24" t="str">
        <f>'Input - Bookings'!B219</f>
        <v>USD</v>
      </c>
      <c r="J219" s="13" t="str">
        <f>IF(I219="USD",INDEX('AP Plants'!A:A,MATCH(G219,'AP Plants'!D:D,0)),INDEX('Australia Plants'!A:A,MATCH(G219,'Australia Plants'!D:D,0)))</f>
        <v>SN</v>
      </c>
      <c r="K219" s="73">
        <v>1</v>
      </c>
      <c r="L219" s="97">
        <v>31345</v>
      </c>
      <c r="M219" s="97">
        <v>19672.07</v>
      </c>
      <c r="N219" s="99">
        <v>0.16508231641638271</v>
      </c>
      <c r="O219" s="25">
        <f t="shared" si="74"/>
        <v>0.37240165895677146</v>
      </c>
      <c r="P219" s="14">
        <f>IFERROR(IF(OR(B219&amp;C219="PAU",B219&amp;C219="AIN"),VLOOKUP(B219&amp;C219&amp;G219,#REF!,8,0),VLOOKUP(B219&amp;G219,#REF!,8,0)),0)</f>
        <v>0</v>
      </c>
      <c r="Q219" s="15">
        <f t="shared" si="72"/>
        <v>0.16508231641638271</v>
      </c>
      <c r="R219" s="16" t="str">
        <f t="shared" si="75"/>
        <v>AOP</v>
      </c>
      <c r="S219" s="17">
        <f t="shared" si="76"/>
        <v>3247.5108843052299</v>
      </c>
      <c r="T219" s="18">
        <f t="shared" si="77"/>
        <v>3247.5108843052299</v>
      </c>
      <c r="U219" s="23">
        <f t="shared" si="73"/>
        <v>19672.07</v>
      </c>
      <c r="Y219" s="8" t="str">
        <f t="shared" si="78"/>
        <v>AIDH68654FBR18WZ</v>
      </c>
      <c r="Z219" s="8" t="str">
        <f>IF(Y219='Input - Bookings'!Q216,"OK","Check")</f>
        <v>Check</v>
      </c>
      <c r="AA219" s="139" t="s">
        <v>1714</v>
      </c>
      <c r="AB219" s="103"/>
      <c r="AC219" s="103"/>
      <c r="AD219" s="100">
        <v>15946.173898732788</v>
      </c>
      <c r="AE219" s="100"/>
      <c r="AF219" s="8" t="str">
        <f t="array" ref="AF219">_xlfn.XLOOKUP($G219,'AP Plants'!D:D,'AP Plants'!B:B)</f>
        <v>Class 2</v>
      </c>
      <c r="AG219" s="102"/>
      <c r="AH219" s="102">
        <f t="shared" si="79"/>
        <v>15946.173898732788</v>
      </c>
      <c r="AI219" s="44">
        <v>1.4999999999999999E-2</v>
      </c>
      <c r="AJ219" s="15">
        <f>_xlfn.XLOOKUP($AF219,Warranty!B:B,Warranty!E:E)</f>
        <v>1.4999999999999999E-2</v>
      </c>
      <c r="AK219" s="8">
        <f>IF($I219="AUD",VLOOKUP(RIGHT('Wk - Margins'!$G219,3),'AU Freight'!C:G,5,0),0)</f>
        <v>0</v>
      </c>
      <c r="AL219" s="15">
        <f t="shared" si="80"/>
        <v>0</v>
      </c>
      <c r="AM219" s="61">
        <f t="shared" si="70"/>
        <v>16424.55911569477</v>
      </c>
      <c r="AN219" s="63">
        <f t="shared" si="81"/>
        <v>0.16508231641638271</v>
      </c>
      <c r="AQ219" s="147"/>
    </row>
    <row r="220" spans="1:43">
      <c r="A220" s="10" t="str">
        <f>'Input - Bookings'!A220</f>
        <v>10-27</v>
      </c>
      <c r="B220" s="11" t="str">
        <f>'Input - Bookings'!C220</f>
        <v>A</v>
      </c>
      <c r="C220" s="11" t="str">
        <f>'Input - Bookings'!H220</f>
        <v>ID</v>
      </c>
      <c r="D220" s="24" t="str">
        <f>'Input - Bookings'!E220</f>
        <v>067</v>
      </c>
      <c r="E220" s="24" t="str">
        <f>'Input - Bookings'!G220</f>
        <v>PT UNIVERSAL TRAKTOR</v>
      </c>
      <c r="F220" s="24" t="str">
        <f>'Input - Bookings'!I220</f>
        <v>H68653</v>
      </c>
      <c r="G220" s="24" t="str">
        <f>'Input - Bookings'!L220</f>
        <v>C900</v>
      </c>
      <c r="H220" s="24" t="str">
        <f>'Input - Bookings'!M220</f>
        <v>FBR18WZ</v>
      </c>
      <c r="I220" s="24" t="str">
        <f>'Input - Bookings'!B220</f>
        <v>USD</v>
      </c>
      <c r="J220" s="13" t="str">
        <f>IF(I220="USD",INDEX('AP Plants'!A:A,MATCH(G220,'AP Plants'!D:D,0)),INDEX('Australia Plants'!A:A,MATCH(G220,'Australia Plants'!D:D,0)))</f>
        <v>SN</v>
      </c>
      <c r="K220" s="73">
        <v>1</v>
      </c>
      <c r="L220" s="97">
        <v>31345</v>
      </c>
      <c r="M220" s="97">
        <v>19672.07</v>
      </c>
      <c r="N220" s="99">
        <v>0.16508231641638271</v>
      </c>
      <c r="O220" s="25">
        <f t="shared" si="74"/>
        <v>0.37240165895677146</v>
      </c>
      <c r="P220" s="14">
        <f>IFERROR(IF(OR(B220&amp;C220="PAU",B220&amp;C220="AIN"),VLOOKUP(B220&amp;C220&amp;G220,#REF!,8,0),VLOOKUP(B220&amp;G220,#REF!,8,0)),0)</f>
        <v>0</v>
      </c>
      <c r="Q220" s="15">
        <f t="shared" si="72"/>
        <v>0.16508231641638271</v>
      </c>
      <c r="R220" s="16" t="str">
        <f t="shared" si="75"/>
        <v>AOP</v>
      </c>
      <c r="S220" s="17">
        <f t="shared" si="76"/>
        <v>3247.5108843052299</v>
      </c>
      <c r="T220" s="18">
        <f t="shared" si="77"/>
        <v>3247.5108843052299</v>
      </c>
      <c r="U220" s="23">
        <f t="shared" si="73"/>
        <v>19672.07</v>
      </c>
      <c r="Y220" s="8" t="str">
        <f t="shared" si="78"/>
        <v>AIDH68653FBR18WZ</v>
      </c>
      <c r="Z220" s="8" t="str">
        <f>IF(Y220='Input - Bookings'!Q217,"OK","Check")</f>
        <v>Check</v>
      </c>
      <c r="AA220" s="139" t="s">
        <v>1714</v>
      </c>
      <c r="AB220" s="103"/>
      <c r="AC220" s="103"/>
      <c r="AD220" s="100">
        <v>15946.173898732788</v>
      </c>
      <c r="AE220" s="100"/>
      <c r="AF220" s="8" t="str">
        <f t="array" ref="AF220">_xlfn.XLOOKUP($G220,'AP Plants'!D:D,'AP Plants'!B:B)</f>
        <v>Class 2</v>
      </c>
      <c r="AG220" s="102"/>
      <c r="AH220" s="102">
        <f t="shared" si="79"/>
        <v>15946.173898732788</v>
      </c>
      <c r="AI220" s="44">
        <v>1.4999999999999999E-2</v>
      </c>
      <c r="AJ220" s="15">
        <f>_xlfn.XLOOKUP($AF220,Warranty!B:B,Warranty!E:E)</f>
        <v>1.4999999999999999E-2</v>
      </c>
      <c r="AK220" s="8">
        <f>IF($I220="AUD",VLOOKUP(RIGHT('Wk - Margins'!$G220,3),'AU Freight'!C:G,5,0),0)</f>
        <v>0</v>
      </c>
      <c r="AL220" s="15">
        <f t="shared" si="80"/>
        <v>0</v>
      </c>
      <c r="AM220" s="61">
        <f t="shared" si="70"/>
        <v>16424.55911569477</v>
      </c>
      <c r="AN220" s="63">
        <f t="shared" si="81"/>
        <v>0.16508231641638271</v>
      </c>
      <c r="AQ220" s="147"/>
    </row>
    <row r="221" spans="1:43">
      <c r="A221" s="10" t="str">
        <f>'Input - Bookings'!A221</f>
        <v>10-27</v>
      </c>
      <c r="B221" s="11" t="str">
        <f>'Input - Bookings'!C221</f>
        <v>A</v>
      </c>
      <c r="C221" s="11" t="str">
        <f>'Input - Bookings'!H221</f>
        <v>ID</v>
      </c>
      <c r="D221" s="24" t="str">
        <f>'Input - Bookings'!E221</f>
        <v>067</v>
      </c>
      <c r="E221" s="24" t="str">
        <f>'Input - Bookings'!G221</f>
        <v>PT UNIVERSAL TRAKTOR</v>
      </c>
      <c r="F221" s="24" t="str">
        <f>'Input - Bookings'!I221</f>
        <v>H68652</v>
      </c>
      <c r="G221" s="24" t="str">
        <f>'Input - Bookings'!L221</f>
        <v>C900</v>
      </c>
      <c r="H221" s="24" t="str">
        <f>'Input - Bookings'!M221</f>
        <v>FBR18WZ</v>
      </c>
      <c r="I221" s="24" t="str">
        <f>'Input - Bookings'!B221</f>
        <v>USD</v>
      </c>
      <c r="J221" s="13" t="str">
        <f>IF(I221="USD",INDEX('AP Plants'!A:A,MATCH(G221,'AP Plants'!D:D,0)),INDEX('Australia Plants'!A:A,MATCH(G221,'Australia Plants'!D:D,0)))</f>
        <v>SN</v>
      </c>
      <c r="K221" s="73">
        <v>1</v>
      </c>
      <c r="L221" s="97">
        <v>31345</v>
      </c>
      <c r="M221" s="97">
        <v>19672.07</v>
      </c>
      <c r="N221" s="99">
        <v>0.16508231641638271</v>
      </c>
      <c r="O221" s="25">
        <f t="shared" si="74"/>
        <v>0.37240165895677146</v>
      </c>
      <c r="P221" s="14">
        <f>IFERROR(IF(OR(B221&amp;C221="PAU",B221&amp;C221="AIN"),VLOOKUP(B221&amp;C221&amp;G221,#REF!,8,0),VLOOKUP(B221&amp;G221,#REF!,8,0)),0)</f>
        <v>0</v>
      </c>
      <c r="Q221" s="15">
        <f t="shared" si="72"/>
        <v>0.16508231641638271</v>
      </c>
      <c r="R221" s="16" t="str">
        <f t="shared" si="75"/>
        <v>AOP</v>
      </c>
      <c r="S221" s="17">
        <f t="shared" si="76"/>
        <v>3247.5108843052299</v>
      </c>
      <c r="T221" s="18">
        <f t="shared" si="77"/>
        <v>3247.5108843052299</v>
      </c>
      <c r="U221" s="23">
        <f t="shared" si="73"/>
        <v>19672.07</v>
      </c>
      <c r="Y221" s="8" t="str">
        <f t="shared" si="78"/>
        <v>AIDH68652FBR18WZ</v>
      </c>
      <c r="Z221" s="8" t="str">
        <f>IF(Y221='Input - Bookings'!Q218,"OK","Check")</f>
        <v>Check</v>
      </c>
      <c r="AA221" s="139" t="s">
        <v>1714</v>
      </c>
      <c r="AB221" s="103"/>
      <c r="AC221" s="103"/>
      <c r="AD221" s="100">
        <v>15946.173898732788</v>
      </c>
      <c r="AE221" s="100"/>
      <c r="AF221" s="8" t="str">
        <f t="array" ref="AF221">_xlfn.XLOOKUP($G221,'AP Plants'!D:D,'AP Plants'!B:B)</f>
        <v>Class 2</v>
      </c>
      <c r="AG221" s="102"/>
      <c r="AH221" s="102">
        <f t="shared" si="79"/>
        <v>15946.173898732788</v>
      </c>
      <c r="AI221" s="44">
        <v>1.4999999999999999E-2</v>
      </c>
      <c r="AJ221" s="15">
        <f>_xlfn.XLOOKUP($AF221,Warranty!B:B,Warranty!E:E)</f>
        <v>1.4999999999999999E-2</v>
      </c>
      <c r="AK221" s="8">
        <f>IF($I221="AUD",VLOOKUP(RIGHT('Wk - Margins'!$G221,3),'AU Freight'!C:G,5,0),0)</f>
        <v>0</v>
      </c>
      <c r="AL221" s="15">
        <f t="shared" si="80"/>
        <v>0</v>
      </c>
      <c r="AM221" s="61">
        <f t="shared" si="70"/>
        <v>16424.55911569477</v>
      </c>
      <c r="AN221" s="63">
        <f t="shared" si="81"/>
        <v>0.16508231641638271</v>
      </c>
      <c r="AQ221" s="147"/>
    </row>
    <row r="222" spans="1:43">
      <c r="A222" s="10" t="str">
        <f>'Input - Bookings'!A222</f>
        <v>10-27</v>
      </c>
      <c r="B222" s="11" t="str">
        <f>'Input - Bookings'!C222</f>
        <v>A</v>
      </c>
      <c r="C222" s="11" t="str">
        <f>'Input - Bookings'!H222</f>
        <v>ID</v>
      </c>
      <c r="D222" s="24" t="str">
        <f>'Input - Bookings'!E222</f>
        <v>067</v>
      </c>
      <c r="E222" s="24" t="str">
        <f>'Input - Bookings'!G222</f>
        <v>PT UNIVERSAL TRAKTOR</v>
      </c>
      <c r="F222" s="24" t="str">
        <f>'Input - Bookings'!I222</f>
        <v>H68651</v>
      </c>
      <c r="G222" s="24" t="str">
        <f>'Input - Bookings'!L222</f>
        <v>C900</v>
      </c>
      <c r="H222" s="24" t="str">
        <f>'Input - Bookings'!M222</f>
        <v>FBR18WZ</v>
      </c>
      <c r="I222" s="24" t="str">
        <f>'Input - Bookings'!B222</f>
        <v>USD</v>
      </c>
      <c r="J222" s="13" t="str">
        <f>IF(I222="USD",INDEX('AP Plants'!A:A,MATCH(G222,'AP Plants'!D:D,0)),INDEX('Australia Plants'!A:A,MATCH(G222,'Australia Plants'!D:D,0)))</f>
        <v>SN</v>
      </c>
      <c r="K222" s="73">
        <v>1</v>
      </c>
      <c r="L222" s="97">
        <v>31345</v>
      </c>
      <c r="M222" s="97">
        <v>19672.07</v>
      </c>
      <c r="N222" s="99">
        <v>0.16508231641638271</v>
      </c>
      <c r="O222" s="25">
        <f t="shared" si="74"/>
        <v>0.37240165895677146</v>
      </c>
      <c r="P222" s="14">
        <f>IFERROR(IF(OR(B222&amp;C222="PAU",B222&amp;C222="AIN"),VLOOKUP(B222&amp;C222&amp;G222,#REF!,8,0),VLOOKUP(B222&amp;G222,#REF!,8,0)),0)</f>
        <v>0</v>
      </c>
      <c r="Q222" s="15">
        <f t="shared" si="72"/>
        <v>0.16508231641638271</v>
      </c>
      <c r="R222" s="16" t="str">
        <f t="shared" si="75"/>
        <v>AOP</v>
      </c>
      <c r="S222" s="17">
        <f t="shared" si="76"/>
        <v>3247.5108843052299</v>
      </c>
      <c r="T222" s="18">
        <f t="shared" si="77"/>
        <v>3247.5108843052299</v>
      </c>
      <c r="U222" s="23">
        <f t="shared" si="73"/>
        <v>19672.07</v>
      </c>
      <c r="Y222" s="8" t="str">
        <f t="shared" si="78"/>
        <v>AIDH68651FBR18WZ</v>
      </c>
      <c r="Z222" s="8" t="str">
        <f>IF(Y222='Input - Bookings'!Q219,"OK","Check")</f>
        <v>Check</v>
      </c>
      <c r="AA222" s="139" t="s">
        <v>1714</v>
      </c>
      <c r="AB222" s="103"/>
      <c r="AC222" s="103"/>
      <c r="AD222" s="100">
        <v>15946.173898732788</v>
      </c>
      <c r="AE222" s="100"/>
      <c r="AF222" s="8" t="str">
        <f t="array" ref="AF222">_xlfn.XLOOKUP($G222,'AP Plants'!D:D,'AP Plants'!B:B)</f>
        <v>Class 2</v>
      </c>
      <c r="AG222" s="102"/>
      <c r="AH222" s="102">
        <f t="shared" si="79"/>
        <v>15946.173898732788</v>
      </c>
      <c r="AI222" s="44">
        <v>1.4999999999999999E-2</v>
      </c>
      <c r="AJ222" s="15">
        <f>_xlfn.XLOOKUP($AF222,Warranty!B:B,Warranty!E:E)</f>
        <v>1.4999999999999999E-2</v>
      </c>
      <c r="AK222" s="8">
        <f>IF($I222="AUD",VLOOKUP(RIGHT('Wk - Margins'!$G222,3),'AU Freight'!C:G,5,0),0)</f>
        <v>0</v>
      </c>
      <c r="AL222" s="15">
        <f t="shared" si="80"/>
        <v>0</v>
      </c>
      <c r="AM222" s="61">
        <f t="shared" si="70"/>
        <v>16424.55911569477</v>
      </c>
      <c r="AN222" s="63">
        <f t="shared" si="81"/>
        <v>0.16508231641638271</v>
      </c>
      <c r="AQ222" s="147"/>
    </row>
    <row r="223" spans="1:43">
      <c r="A223" s="10" t="str">
        <f>'Input - Bookings'!A223</f>
        <v>10-27</v>
      </c>
      <c r="B223" s="11" t="str">
        <f>'Input - Bookings'!C223</f>
        <v>A</v>
      </c>
      <c r="C223" s="11" t="str">
        <f>'Input - Bookings'!H223</f>
        <v>ID</v>
      </c>
      <c r="D223" s="24" t="str">
        <f>'Input - Bookings'!E223</f>
        <v>067</v>
      </c>
      <c r="E223" s="24" t="str">
        <f>'Input - Bookings'!G223</f>
        <v>PT UNIVERSAL TRAKTOR</v>
      </c>
      <c r="F223" s="24" t="str">
        <f>'Input - Bookings'!I223</f>
        <v>H68650</v>
      </c>
      <c r="G223" s="24" t="str">
        <f>'Input - Bookings'!L223</f>
        <v>C900</v>
      </c>
      <c r="H223" s="24" t="str">
        <f>'Input - Bookings'!M223</f>
        <v>FBR18WZ</v>
      </c>
      <c r="I223" s="24" t="str">
        <f>'Input - Bookings'!B223</f>
        <v>USD</v>
      </c>
      <c r="J223" s="13" t="str">
        <f>IF(I223="USD",INDEX('AP Plants'!A:A,MATCH(G223,'AP Plants'!D:D,0)),INDEX('Australia Plants'!A:A,MATCH(G223,'Australia Plants'!D:D,0)))</f>
        <v>SN</v>
      </c>
      <c r="K223" s="73">
        <v>1</v>
      </c>
      <c r="L223" s="97">
        <v>31345</v>
      </c>
      <c r="M223" s="97">
        <v>19672.07</v>
      </c>
      <c r="N223" s="99">
        <v>0.16508231641638271</v>
      </c>
      <c r="O223" s="25">
        <f t="shared" si="74"/>
        <v>0.37240165895677146</v>
      </c>
      <c r="P223" s="14">
        <f>IFERROR(IF(OR(B223&amp;C223="PAU",B223&amp;C223="AIN"),VLOOKUP(B223&amp;C223&amp;G223,#REF!,8,0),VLOOKUP(B223&amp;G223,#REF!,8,0)),0)</f>
        <v>0</v>
      </c>
      <c r="Q223" s="15">
        <f t="shared" si="72"/>
        <v>0.16508231641638271</v>
      </c>
      <c r="R223" s="16" t="str">
        <f t="shared" si="75"/>
        <v>AOP</v>
      </c>
      <c r="S223" s="17">
        <f t="shared" si="76"/>
        <v>3247.5108843052299</v>
      </c>
      <c r="T223" s="18">
        <f t="shared" si="77"/>
        <v>3247.5108843052299</v>
      </c>
      <c r="U223" s="23">
        <f t="shared" si="73"/>
        <v>19672.07</v>
      </c>
      <c r="Y223" s="8" t="str">
        <f t="shared" si="78"/>
        <v>AIDH68650FBR18WZ</v>
      </c>
      <c r="Z223" s="8" t="str">
        <f>IF(Y223='Input - Bookings'!Q220,"OK","Check")</f>
        <v>Check</v>
      </c>
      <c r="AA223" s="139" t="s">
        <v>1714</v>
      </c>
      <c r="AB223" s="103"/>
      <c r="AC223" s="103"/>
      <c r="AD223" s="100">
        <v>15946.173898732788</v>
      </c>
      <c r="AE223" s="100"/>
      <c r="AF223" s="8" t="str">
        <f t="array" ref="AF223">_xlfn.XLOOKUP($G223,'AP Plants'!D:D,'AP Plants'!B:B)</f>
        <v>Class 2</v>
      </c>
      <c r="AG223" s="102"/>
      <c r="AH223" s="102">
        <f t="shared" si="79"/>
        <v>15946.173898732788</v>
      </c>
      <c r="AI223" s="44">
        <v>1.4999999999999999E-2</v>
      </c>
      <c r="AJ223" s="15">
        <f>_xlfn.XLOOKUP($AF223,Warranty!B:B,Warranty!E:E)</f>
        <v>1.4999999999999999E-2</v>
      </c>
      <c r="AK223" s="8">
        <f>IF($I223="AUD",VLOOKUP(RIGHT('Wk - Margins'!$G223,3),'AU Freight'!C:G,5,0),0)</f>
        <v>0</v>
      </c>
      <c r="AL223" s="15">
        <f t="shared" si="80"/>
        <v>0</v>
      </c>
      <c r="AM223" s="61">
        <f t="shared" ref="AM223:AM247" si="82">SUM(AG223:AH223)*(1+AI223+AJ223+AL223)+AK223</f>
        <v>16424.55911569477</v>
      </c>
      <c r="AN223" s="63">
        <f t="shared" si="81"/>
        <v>0.16508231641638271</v>
      </c>
      <c r="AQ223" s="147"/>
    </row>
    <row r="224" spans="1:43">
      <c r="A224" s="10" t="str">
        <f>'Input - Bookings'!A224</f>
        <v>10-27</v>
      </c>
      <c r="B224" s="11" t="str">
        <f>'Input - Bookings'!C224</f>
        <v>A</v>
      </c>
      <c r="C224" s="11" t="str">
        <f>'Input - Bookings'!H224</f>
        <v>ID</v>
      </c>
      <c r="D224" s="24" t="str">
        <f>'Input - Bookings'!E224</f>
        <v>067</v>
      </c>
      <c r="E224" s="24" t="str">
        <f>'Input - Bookings'!G224</f>
        <v>PT UNIVERSAL TRAKTOR</v>
      </c>
      <c r="F224" s="146" t="str">
        <f>'Input - Bookings'!I224</f>
        <v>H68649</v>
      </c>
      <c r="G224" s="24" t="str">
        <f>'Input - Bookings'!L224</f>
        <v>A7S4</v>
      </c>
      <c r="H224" s="24" t="str">
        <f>'Input - Bookings'!M224</f>
        <v>ERP25UX</v>
      </c>
      <c r="I224" s="24" t="str">
        <f>'Input - Bookings'!B224</f>
        <v>USD</v>
      </c>
      <c r="J224" s="13" t="str">
        <f>IF(I224="USD",INDEX('AP Plants'!A:A,MATCH(G224,'AP Plants'!D:D,0)),INDEX('Australia Plants'!A:A,MATCH(G224,'Australia Plants'!D:D,0)))</f>
        <v>Maximal</v>
      </c>
      <c r="K224" s="73">
        <v>1</v>
      </c>
      <c r="L224" s="97">
        <v>25706</v>
      </c>
      <c r="M224" s="97">
        <v>17683.939999999999</v>
      </c>
      <c r="N224" s="99">
        <v>0.13187080730537781</v>
      </c>
      <c r="O224" s="25">
        <f t="shared" si="74"/>
        <v>0.31206955574574036</v>
      </c>
      <c r="P224" s="14">
        <f>IFERROR(IF(OR(B224&amp;C224="PAU",B224&amp;C224="AIN"),VLOOKUP(B224&amp;C224&amp;G224,#REF!,8,0),VLOOKUP(B224&amp;G224,#REF!,8,0)),0)</f>
        <v>0</v>
      </c>
      <c r="Q224" s="15">
        <f t="shared" si="72"/>
        <v>0.13187080730537781</v>
      </c>
      <c r="R224" s="16" t="str">
        <f t="shared" si="75"/>
        <v>AOP</v>
      </c>
      <c r="S224" s="17">
        <f t="shared" si="76"/>
        <v>2331.9954441398627</v>
      </c>
      <c r="T224" s="18">
        <f t="shared" si="77"/>
        <v>2331.9954441398627</v>
      </c>
      <c r="U224" s="23">
        <f t="shared" si="73"/>
        <v>17683.939999999999</v>
      </c>
      <c r="Y224" s="8" t="str">
        <f t="shared" si="78"/>
        <v>AIDH68649ERP25UX</v>
      </c>
      <c r="Z224" s="8" t="str">
        <f>IF(Y224='Input - Bookings'!Q221,"OK","Check")</f>
        <v>Check</v>
      </c>
      <c r="AA224" s="139"/>
      <c r="AB224" s="103"/>
      <c r="AC224" s="103"/>
      <c r="AD224" s="100">
        <f>14850.926035157+200</f>
        <v>15050.926035156999</v>
      </c>
      <c r="AE224" s="110"/>
      <c r="AF224" s="8" t="str">
        <f t="array" ref="AF224">_xlfn.XLOOKUP($G224,'AP Plants'!D:D,'AP Plants'!B:B)</f>
        <v>Class 1</v>
      </c>
      <c r="AG224" s="102"/>
      <c r="AH224" s="102">
        <f t="shared" si="79"/>
        <v>15050.926035156999</v>
      </c>
      <c r="AI224" s="44">
        <v>1.4999999999999999E-2</v>
      </c>
      <c r="AJ224" s="15">
        <f>_xlfn.XLOOKUP($AF224,Warranty!B:B,Warranty!E:E)</f>
        <v>5.0000000000000001E-3</v>
      </c>
      <c r="AK224" s="8">
        <f>IF($I224="AUD",VLOOKUP(RIGHT('Wk - Margins'!$G224,3),'AU Freight'!C:G,5,0),0)</f>
        <v>0</v>
      </c>
      <c r="AL224" s="15">
        <f t="shared" si="80"/>
        <v>0</v>
      </c>
      <c r="AM224" s="61">
        <f t="shared" si="82"/>
        <v>15351.944555860136</v>
      </c>
      <c r="AN224" s="63">
        <f t="shared" si="81"/>
        <v>0.13187080730537781</v>
      </c>
      <c r="AQ224" s="147"/>
    </row>
    <row r="225" spans="1:43">
      <c r="A225" s="10" t="str">
        <f>'Input - Bookings'!A225</f>
        <v>10-27</v>
      </c>
      <c r="B225" s="11" t="str">
        <f>'Input - Bookings'!C225</f>
        <v>A</v>
      </c>
      <c r="C225" s="11" t="str">
        <f>'Input - Bookings'!H225</f>
        <v>ID</v>
      </c>
      <c r="D225" s="24" t="str">
        <f>'Input - Bookings'!E225</f>
        <v>067</v>
      </c>
      <c r="E225" s="24" t="str">
        <f>'Input - Bookings'!G225</f>
        <v>PT UNIVERSAL TRAKTOR</v>
      </c>
      <c r="F225" s="146" t="str">
        <f>'Input - Bookings'!I225</f>
        <v>H68648</v>
      </c>
      <c r="G225" s="24" t="str">
        <f>'Input - Bookings'!L225</f>
        <v>A7S4</v>
      </c>
      <c r="H225" s="24" t="str">
        <f>'Input - Bookings'!M225</f>
        <v>ERP25UX</v>
      </c>
      <c r="I225" s="24" t="str">
        <f>'Input - Bookings'!B225</f>
        <v>USD</v>
      </c>
      <c r="J225" s="13" t="str">
        <f>IF(I225="USD",INDEX('AP Plants'!A:A,MATCH(G225,'AP Plants'!D:D,0)),INDEX('Australia Plants'!A:A,MATCH(G225,'Australia Plants'!D:D,0)))</f>
        <v>Maximal</v>
      </c>
      <c r="K225" s="73">
        <v>1</v>
      </c>
      <c r="L225" s="97">
        <v>25706</v>
      </c>
      <c r="M225" s="97">
        <v>17683.939999999999</v>
      </c>
      <c r="N225" s="99">
        <v>0.13187080730537781</v>
      </c>
      <c r="O225" s="25">
        <f t="shared" si="74"/>
        <v>0.31206955574574036</v>
      </c>
      <c r="P225" s="14">
        <f>IFERROR(IF(OR(B225&amp;C225="PAU",B225&amp;C225="AIN"),VLOOKUP(B225&amp;C225&amp;G225,#REF!,8,0),VLOOKUP(B225&amp;G225,#REF!,8,0)),0)</f>
        <v>0</v>
      </c>
      <c r="Q225" s="15">
        <f t="shared" si="72"/>
        <v>0.13187080730537781</v>
      </c>
      <c r="R225" s="16" t="str">
        <f t="shared" si="75"/>
        <v>AOP</v>
      </c>
      <c r="S225" s="17">
        <f t="shared" si="76"/>
        <v>2331.9954441398627</v>
      </c>
      <c r="T225" s="18">
        <f t="shared" si="77"/>
        <v>2331.9954441398627</v>
      </c>
      <c r="U225" s="23">
        <f t="shared" si="73"/>
        <v>17683.939999999999</v>
      </c>
      <c r="Y225" s="8" t="str">
        <f t="shared" si="78"/>
        <v>AIDH68648ERP25UX</v>
      </c>
      <c r="Z225" s="8" t="str">
        <f>IF(Y225='Input - Bookings'!Q222,"OK","Check")</f>
        <v>Check</v>
      </c>
      <c r="AA225" s="139"/>
      <c r="AB225" s="103"/>
      <c r="AC225" s="103"/>
      <c r="AD225" s="100">
        <f>14850.926035157+200</f>
        <v>15050.926035156999</v>
      </c>
      <c r="AE225" s="110"/>
      <c r="AF225" s="8" t="str">
        <f t="array" ref="AF225">_xlfn.XLOOKUP($G225,'AP Plants'!D:D,'AP Plants'!B:B)</f>
        <v>Class 1</v>
      </c>
      <c r="AG225" s="102"/>
      <c r="AH225" s="102">
        <f t="shared" si="79"/>
        <v>15050.926035156999</v>
      </c>
      <c r="AI225" s="44">
        <v>1.4999999999999999E-2</v>
      </c>
      <c r="AJ225" s="15">
        <f>_xlfn.XLOOKUP($AF225,Warranty!B:B,Warranty!E:E)</f>
        <v>5.0000000000000001E-3</v>
      </c>
      <c r="AK225" s="8">
        <f>IF($I225="AUD",VLOOKUP(RIGHT('Wk - Margins'!$G225,3),'AU Freight'!C:G,5,0),0)</f>
        <v>0</v>
      </c>
      <c r="AL225" s="15">
        <f t="shared" si="80"/>
        <v>0</v>
      </c>
      <c r="AM225" s="61">
        <f t="shared" si="82"/>
        <v>15351.944555860136</v>
      </c>
      <c r="AN225" s="63">
        <f t="shared" si="81"/>
        <v>0.13187080730537781</v>
      </c>
      <c r="AQ225" s="147"/>
    </row>
    <row r="226" spans="1:43">
      <c r="A226" s="10" t="str">
        <f>'Input - Bookings'!A226</f>
        <v>10-27</v>
      </c>
      <c r="B226" s="11" t="str">
        <f>'Input - Bookings'!C226</f>
        <v>A</v>
      </c>
      <c r="C226" s="11" t="str">
        <f>'Input - Bookings'!H226</f>
        <v>ID</v>
      </c>
      <c r="D226" s="24" t="str">
        <f>'Input - Bookings'!E226</f>
        <v>067</v>
      </c>
      <c r="E226" s="24" t="str">
        <f>'Input - Bookings'!G226</f>
        <v>PT UNIVERSAL TRAKTOR</v>
      </c>
      <c r="F226" s="146" t="str">
        <f>'Input - Bookings'!I226</f>
        <v>H68647</v>
      </c>
      <c r="G226" s="24" t="str">
        <f>'Input - Bookings'!L226</f>
        <v>A7S4</v>
      </c>
      <c r="H226" s="24" t="str">
        <f>'Input - Bookings'!M226</f>
        <v>ERP25UX</v>
      </c>
      <c r="I226" s="24" t="str">
        <f>'Input - Bookings'!B226</f>
        <v>USD</v>
      </c>
      <c r="J226" s="13" t="str">
        <f>IF(I226="USD",INDEX('AP Plants'!A:A,MATCH(G226,'AP Plants'!D:D,0)),INDEX('Australia Plants'!A:A,MATCH(G226,'Australia Plants'!D:D,0)))</f>
        <v>Maximal</v>
      </c>
      <c r="K226" s="73">
        <v>1</v>
      </c>
      <c r="L226" s="97">
        <v>25706</v>
      </c>
      <c r="M226" s="97">
        <v>17683.939999999999</v>
      </c>
      <c r="N226" s="99">
        <v>0.13187080730537781</v>
      </c>
      <c r="O226" s="25">
        <f t="shared" si="74"/>
        <v>0.31206955574574036</v>
      </c>
      <c r="P226" s="14">
        <f>IFERROR(IF(OR(B226&amp;C226="PAU",B226&amp;C226="AIN"),VLOOKUP(B226&amp;C226&amp;G226,#REF!,8,0),VLOOKUP(B226&amp;G226,#REF!,8,0)),0)</f>
        <v>0</v>
      </c>
      <c r="Q226" s="15">
        <f t="shared" si="72"/>
        <v>0.13187080730537781</v>
      </c>
      <c r="R226" s="16" t="str">
        <f t="shared" si="75"/>
        <v>AOP</v>
      </c>
      <c r="S226" s="17">
        <f t="shared" si="76"/>
        <v>2331.9954441398627</v>
      </c>
      <c r="T226" s="18">
        <f t="shared" si="77"/>
        <v>2331.9954441398627</v>
      </c>
      <c r="U226" s="23">
        <f t="shared" si="73"/>
        <v>17683.939999999999</v>
      </c>
      <c r="Y226" s="8" t="str">
        <f t="shared" si="78"/>
        <v>AIDH68647ERP25UX</v>
      </c>
      <c r="Z226" s="8" t="str">
        <f>IF(Y226='Input - Bookings'!Q223,"OK","Check")</f>
        <v>Check</v>
      </c>
      <c r="AA226" s="118"/>
      <c r="AB226" s="103"/>
      <c r="AC226" s="103"/>
      <c r="AD226" s="100">
        <f>14850.926035157+200</f>
        <v>15050.926035156999</v>
      </c>
      <c r="AE226" s="110"/>
      <c r="AF226" s="8" t="str">
        <f t="array" ref="AF226">_xlfn.XLOOKUP($G226,'AP Plants'!D:D,'AP Plants'!B:B)</f>
        <v>Class 1</v>
      </c>
      <c r="AG226" s="102"/>
      <c r="AH226" s="102">
        <f t="shared" si="79"/>
        <v>15050.926035156999</v>
      </c>
      <c r="AI226" s="44">
        <v>1.4999999999999999E-2</v>
      </c>
      <c r="AJ226" s="15">
        <f>_xlfn.XLOOKUP($AF226,Warranty!B:B,Warranty!E:E)</f>
        <v>5.0000000000000001E-3</v>
      </c>
      <c r="AK226" s="8">
        <f>IF($I226="AUD",VLOOKUP(RIGHT('Wk - Margins'!$G226,3),'AU Freight'!C:G,5,0),0)</f>
        <v>0</v>
      </c>
      <c r="AL226" s="15">
        <f t="shared" si="80"/>
        <v>0</v>
      </c>
      <c r="AM226" s="61">
        <f t="shared" si="82"/>
        <v>15351.944555860136</v>
      </c>
      <c r="AN226" s="63">
        <f t="shared" si="81"/>
        <v>0.13187080730537781</v>
      </c>
      <c r="AQ226" s="147"/>
    </row>
    <row r="227" spans="1:43">
      <c r="A227" s="10" t="str">
        <f>'Input - Bookings'!A227</f>
        <v>10-27</v>
      </c>
      <c r="B227" s="11" t="str">
        <f>'Input - Bookings'!C227</f>
        <v>A</v>
      </c>
      <c r="C227" s="11" t="str">
        <f>'Input - Bookings'!H227</f>
        <v>ID</v>
      </c>
      <c r="D227" s="24" t="str">
        <f>'Input - Bookings'!E227</f>
        <v>067</v>
      </c>
      <c r="E227" s="24" t="str">
        <f>'Input - Bookings'!G227</f>
        <v>PT UNIVERSAL TRAKTOR</v>
      </c>
      <c r="F227" s="24" t="str">
        <f>'Input - Bookings'!I227</f>
        <v>H68646</v>
      </c>
      <c r="G227" s="24" t="str">
        <f>'Input - Bookings'!L227</f>
        <v>A961</v>
      </c>
      <c r="H227" s="24" t="str">
        <f>'Input - Bookings'!M227</f>
        <v>MR16 961</v>
      </c>
      <c r="I227" s="24" t="str">
        <f>'Input - Bookings'!B227</f>
        <v>USD</v>
      </c>
      <c r="J227" s="13" t="str">
        <f>IF(I227="USD",INDEX('AP Plants'!A:A,MATCH(G227,'AP Plants'!D:D,0)),INDEX('Australia Plants'!A:A,MATCH(G227,'Australia Plants'!D:D,0)))</f>
        <v>Maximal</v>
      </c>
      <c r="K227" s="73">
        <v>1</v>
      </c>
      <c r="L227" s="97">
        <v>32987</v>
      </c>
      <c r="M227" s="97">
        <v>21918</v>
      </c>
      <c r="N227" s="99">
        <v>8.1939797298489103E-2</v>
      </c>
      <c r="O227" s="25">
        <f t="shared" si="74"/>
        <v>0.33555643132142965</v>
      </c>
      <c r="P227" s="14">
        <f>IFERROR(IF(OR(B227&amp;C227="PAU",B227&amp;C227="AIN"),VLOOKUP(B227&amp;C227&amp;G227,#REF!,8,0),VLOOKUP(B227&amp;G227,#REF!,8,0)),0)</f>
        <v>0</v>
      </c>
      <c r="Q227" s="15">
        <f t="shared" si="72"/>
        <v>8.1939797298489103E-2</v>
      </c>
      <c r="R227" s="16" t="str">
        <f t="shared" si="75"/>
        <v>AOP</v>
      </c>
      <c r="S227" s="17">
        <f t="shared" si="76"/>
        <v>1795.9564771882842</v>
      </c>
      <c r="T227" s="18">
        <f t="shared" si="77"/>
        <v>1795.9564771882842</v>
      </c>
      <c r="U227" s="23">
        <f t="shared" si="73"/>
        <v>21918</v>
      </c>
      <c r="Y227" s="8" t="str">
        <f t="shared" si="78"/>
        <v>AIDH68646MR16 961</v>
      </c>
      <c r="Z227" s="8" t="str">
        <f>IF(Y227='Input - Bookings'!Q232,"OK","Check")</f>
        <v>Check</v>
      </c>
      <c r="AA227" s="139"/>
      <c r="AB227" s="103"/>
      <c r="AC227" s="103"/>
      <c r="AD227" s="100">
        <v>19535.964585254096</v>
      </c>
      <c r="AE227" s="100"/>
      <c r="AF227" s="8" t="str">
        <f t="array" ref="AF227">_xlfn.XLOOKUP($G227,'AP Plants'!D:D,'AP Plants'!B:B)</f>
        <v>Class 2</v>
      </c>
      <c r="AG227" s="102"/>
      <c r="AH227" s="102">
        <f t="shared" si="79"/>
        <v>19535.964585254096</v>
      </c>
      <c r="AI227" s="44">
        <v>1.4999999999999999E-2</v>
      </c>
      <c r="AJ227" s="15">
        <f>_xlfn.XLOOKUP($AF227,Warranty!B:B,Warranty!E:E)</f>
        <v>1.4999999999999999E-2</v>
      </c>
      <c r="AK227" s="8">
        <f>IF($I227="AUD",VLOOKUP(RIGHT('Wk - Margins'!$G227,3),'AU Freight'!C:G,5,0),0)</f>
        <v>0</v>
      </c>
      <c r="AL227" s="15">
        <f t="shared" si="80"/>
        <v>0</v>
      </c>
      <c r="AM227" s="61">
        <f t="shared" si="82"/>
        <v>20122.043522811717</v>
      </c>
      <c r="AN227" s="63">
        <f t="shared" si="81"/>
        <v>8.1939797298489103E-2</v>
      </c>
      <c r="AQ227" s="147"/>
    </row>
    <row r="228" spans="1:43">
      <c r="A228" s="10" t="str">
        <f>'Input - Bookings'!A228</f>
        <v>10-27</v>
      </c>
      <c r="B228" s="11" t="str">
        <f>'Input - Bookings'!C228</f>
        <v>A</v>
      </c>
      <c r="C228" s="11" t="str">
        <f>'Input - Bookings'!H228</f>
        <v>ID</v>
      </c>
      <c r="D228" s="24" t="str">
        <f>'Input - Bookings'!E228</f>
        <v>067</v>
      </c>
      <c r="E228" s="24" t="str">
        <f>'Input - Bookings'!G228</f>
        <v>PT UNIVERSAL TRAKTOR</v>
      </c>
      <c r="F228" s="24" t="str">
        <f>'Input - Bookings'!I228</f>
        <v>H68645</v>
      </c>
      <c r="G228" s="24" t="str">
        <f>'Input - Bookings'!L228</f>
        <v>A961</v>
      </c>
      <c r="H228" s="24" t="str">
        <f>'Input - Bookings'!M228</f>
        <v>MR16 961</v>
      </c>
      <c r="I228" s="24" t="str">
        <f>'Input - Bookings'!B228</f>
        <v>USD</v>
      </c>
      <c r="J228" s="13" t="str">
        <f>IF(I228="USD",INDEX('AP Plants'!A:A,MATCH(G228,'AP Plants'!D:D,0)),INDEX('Australia Plants'!A:A,MATCH(G228,'Australia Plants'!D:D,0)))</f>
        <v>Maximal</v>
      </c>
      <c r="K228" s="73">
        <v>1</v>
      </c>
      <c r="L228" s="97">
        <v>32987</v>
      </c>
      <c r="M228" s="97">
        <v>21918</v>
      </c>
      <c r="N228" s="99">
        <v>8.1939797298489103E-2</v>
      </c>
      <c r="O228" s="25">
        <f t="shared" si="74"/>
        <v>0.33555643132142965</v>
      </c>
      <c r="P228" s="14">
        <f>IFERROR(IF(OR(B228&amp;C228="PAU",B228&amp;C228="AIN"),VLOOKUP(B228&amp;C228&amp;G228,#REF!,8,0),VLOOKUP(B228&amp;G228,#REF!,8,0)),0)</f>
        <v>0</v>
      </c>
      <c r="Q228" s="15">
        <f t="shared" si="72"/>
        <v>8.1939797298489103E-2</v>
      </c>
      <c r="R228" s="16" t="str">
        <f t="shared" si="75"/>
        <v>AOP</v>
      </c>
      <c r="S228" s="17">
        <f t="shared" si="76"/>
        <v>1795.9564771882842</v>
      </c>
      <c r="T228" s="18">
        <f t="shared" si="77"/>
        <v>1795.9564771882842</v>
      </c>
      <c r="U228" s="23">
        <f t="shared" si="73"/>
        <v>21918</v>
      </c>
      <c r="Y228" s="8" t="str">
        <f t="shared" si="78"/>
        <v>AIDH68645MR16 961</v>
      </c>
      <c r="Z228" s="8" t="str">
        <f>IF(Y228='Input - Bookings'!Q233,"OK","Check")</f>
        <v>Check</v>
      </c>
      <c r="AA228" s="139"/>
      <c r="AB228" s="103"/>
      <c r="AC228" s="103"/>
      <c r="AD228" s="100">
        <v>19535.964585254096</v>
      </c>
      <c r="AE228" s="100"/>
      <c r="AF228" s="8" t="str">
        <f t="array" ref="AF228">_xlfn.XLOOKUP($G228,'AP Plants'!D:D,'AP Plants'!B:B)</f>
        <v>Class 2</v>
      </c>
      <c r="AG228" s="102"/>
      <c r="AH228" s="102">
        <f t="shared" si="79"/>
        <v>19535.964585254096</v>
      </c>
      <c r="AI228" s="44">
        <v>1.4999999999999999E-2</v>
      </c>
      <c r="AJ228" s="15">
        <f>_xlfn.XLOOKUP($AF228,Warranty!B:B,Warranty!E:E)</f>
        <v>1.4999999999999999E-2</v>
      </c>
      <c r="AK228" s="8">
        <f>IF($I228="AUD",VLOOKUP(RIGHT('Wk - Margins'!$G228,3),'AU Freight'!C:G,5,0),0)</f>
        <v>0</v>
      </c>
      <c r="AL228" s="15">
        <f t="shared" si="80"/>
        <v>0</v>
      </c>
      <c r="AM228" s="61">
        <f t="shared" si="82"/>
        <v>20122.043522811717</v>
      </c>
      <c r="AN228" s="63">
        <f t="shared" si="81"/>
        <v>8.1939797298489103E-2</v>
      </c>
      <c r="AQ228" s="147"/>
    </row>
    <row r="229" spans="1:43">
      <c r="A229" s="10" t="str">
        <f>'Input - Bookings'!A229</f>
        <v>10-27</v>
      </c>
      <c r="B229" s="11" t="str">
        <f>'Input - Bookings'!C229</f>
        <v>A</v>
      </c>
      <c r="C229" s="11" t="str">
        <f>'Input - Bookings'!H229</f>
        <v>ID</v>
      </c>
      <c r="D229" s="24" t="str">
        <f>'Input - Bookings'!E229</f>
        <v>067</v>
      </c>
      <c r="E229" s="24" t="str">
        <f>'Input - Bookings'!G229</f>
        <v>PT UNIVERSAL TRAKTOR</v>
      </c>
      <c r="F229" s="24" t="str">
        <f>'Input - Bookings'!I229</f>
        <v>H68644</v>
      </c>
      <c r="G229" s="24" t="str">
        <f>'Input - Bookings'!L229</f>
        <v>A961</v>
      </c>
      <c r="H229" s="24" t="str">
        <f>'Input - Bookings'!M229</f>
        <v>MR16 961</v>
      </c>
      <c r="I229" s="24" t="str">
        <f>'Input - Bookings'!B229</f>
        <v>USD</v>
      </c>
      <c r="J229" s="13" t="str">
        <f>IF(I229="USD",INDEX('AP Plants'!A:A,MATCH(G229,'AP Plants'!D:D,0)),INDEX('Australia Plants'!A:A,MATCH(G229,'Australia Plants'!D:D,0)))</f>
        <v>Maximal</v>
      </c>
      <c r="K229" s="73">
        <v>1</v>
      </c>
      <c r="L229" s="97">
        <v>32987</v>
      </c>
      <c r="M229" s="97">
        <v>21918</v>
      </c>
      <c r="N229" s="99">
        <v>8.1939797298489103E-2</v>
      </c>
      <c r="O229" s="25">
        <f t="shared" si="74"/>
        <v>0.33555643132142965</v>
      </c>
      <c r="P229" s="14">
        <f>IFERROR(IF(OR(B229&amp;C229="PAU",B229&amp;C229="AIN"),VLOOKUP(B229&amp;C229&amp;G229,#REF!,8,0),VLOOKUP(B229&amp;G229,#REF!,8,0)),0)</f>
        <v>0</v>
      </c>
      <c r="Q229" s="15">
        <f t="shared" si="72"/>
        <v>8.1939797298489103E-2</v>
      </c>
      <c r="R229" s="16" t="str">
        <f t="shared" si="75"/>
        <v>AOP</v>
      </c>
      <c r="S229" s="17">
        <f t="shared" si="76"/>
        <v>1795.9564771882842</v>
      </c>
      <c r="T229" s="18">
        <f t="shared" si="77"/>
        <v>1795.9564771882842</v>
      </c>
      <c r="U229" s="23">
        <f t="shared" si="73"/>
        <v>21918</v>
      </c>
      <c r="Y229" s="8" t="str">
        <f t="shared" si="78"/>
        <v>AIDH68644MR16 961</v>
      </c>
      <c r="Z229" s="8" t="str">
        <f>IF(Y229='Input - Bookings'!Q234,"OK","Check")</f>
        <v>Check</v>
      </c>
      <c r="AA229" s="118"/>
      <c r="AB229" s="103"/>
      <c r="AC229" s="103"/>
      <c r="AD229" s="100">
        <v>19535.964585254096</v>
      </c>
      <c r="AE229" s="100"/>
      <c r="AF229" s="8" t="str">
        <f t="array" ref="AF229">_xlfn.XLOOKUP($G229,'AP Plants'!D:D,'AP Plants'!B:B)</f>
        <v>Class 2</v>
      </c>
      <c r="AG229" s="102"/>
      <c r="AH229" s="102">
        <f t="shared" si="79"/>
        <v>19535.964585254096</v>
      </c>
      <c r="AI229" s="44">
        <v>1.4999999999999999E-2</v>
      </c>
      <c r="AJ229" s="15">
        <f>_xlfn.XLOOKUP($AF229,Warranty!B:B,Warranty!E:E)</f>
        <v>1.4999999999999999E-2</v>
      </c>
      <c r="AK229" s="8">
        <f>IF($I229="AUD",VLOOKUP(RIGHT('Wk - Margins'!$G229,3),'AU Freight'!C:G,5,0),0)</f>
        <v>0</v>
      </c>
      <c r="AL229" s="15">
        <f t="shared" si="80"/>
        <v>0</v>
      </c>
      <c r="AM229" s="61">
        <f t="shared" si="82"/>
        <v>20122.043522811717</v>
      </c>
      <c r="AN229" s="63">
        <f t="shared" si="81"/>
        <v>8.1939797298489103E-2</v>
      </c>
      <c r="AQ229" s="147"/>
    </row>
    <row r="230" spans="1:43">
      <c r="A230" s="10" t="str">
        <f>'Input - Bookings'!A230</f>
        <v>10-27</v>
      </c>
      <c r="B230" s="11" t="str">
        <f>'Input - Bookings'!C230</f>
        <v>A</v>
      </c>
      <c r="C230" s="11" t="str">
        <f>'Input - Bookings'!H230</f>
        <v>ID</v>
      </c>
      <c r="D230" s="24" t="str">
        <f>'Input - Bookings'!E230</f>
        <v>067</v>
      </c>
      <c r="E230" s="24" t="str">
        <f>'Input - Bookings'!G230</f>
        <v>PT UNIVERSAL TRAKTOR</v>
      </c>
      <c r="F230" s="24" t="str">
        <f>'Input - Bookings'!I230</f>
        <v>H68643</v>
      </c>
      <c r="G230" s="24" t="str">
        <f>'Input - Bookings'!L230</f>
        <v>A961</v>
      </c>
      <c r="H230" s="24" t="str">
        <f>'Input - Bookings'!M230</f>
        <v>MR16 961</v>
      </c>
      <c r="I230" s="24" t="str">
        <f>'Input - Bookings'!B230</f>
        <v>USD</v>
      </c>
      <c r="J230" s="13" t="str">
        <f>IF(I230="USD",INDEX('AP Plants'!A:A,MATCH(G230,'AP Plants'!D:D,0)),INDEX('Australia Plants'!A:A,MATCH(G230,'Australia Plants'!D:D,0)))</f>
        <v>Maximal</v>
      </c>
      <c r="K230" s="73">
        <v>1</v>
      </c>
      <c r="L230" s="97">
        <v>32987</v>
      </c>
      <c r="M230" s="97">
        <v>21918</v>
      </c>
      <c r="N230" s="99">
        <v>8.1939797298489103E-2</v>
      </c>
      <c r="O230" s="25">
        <f t="shared" si="74"/>
        <v>0.33555643132142965</v>
      </c>
      <c r="P230" s="14">
        <f>IFERROR(IF(OR(B230&amp;C230="PAU",B230&amp;C230="AIN"),VLOOKUP(B230&amp;C230&amp;G230,#REF!,8,0),VLOOKUP(B230&amp;G230,#REF!,8,0)),0)</f>
        <v>0</v>
      </c>
      <c r="Q230" s="15">
        <f t="shared" si="72"/>
        <v>8.1939797298489103E-2</v>
      </c>
      <c r="R230" s="16" t="str">
        <f t="shared" si="75"/>
        <v>AOP</v>
      </c>
      <c r="S230" s="17">
        <f t="shared" si="76"/>
        <v>1795.9564771882842</v>
      </c>
      <c r="T230" s="18">
        <f t="shared" si="77"/>
        <v>1795.9564771882842</v>
      </c>
      <c r="U230" s="23">
        <f t="shared" si="73"/>
        <v>21918</v>
      </c>
      <c r="Y230" s="8" t="str">
        <f t="shared" si="78"/>
        <v>AIDH68643MR16 961</v>
      </c>
      <c r="Z230" s="8" t="str">
        <f>IF(Y230='Input - Bookings'!Q235,"OK","Check")</f>
        <v>Check</v>
      </c>
      <c r="AA230" s="139"/>
      <c r="AB230" s="103"/>
      <c r="AC230" s="103"/>
      <c r="AD230" s="100">
        <v>19535.964585254096</v>
      </c>
      <c r="AE230" s="100"/>
      <c r="AF230" s="8" t="str">
        <f t="array" ref="AF230">_xlfn.XLOOKUP($G230,'AP Plants'!D:D,'AP Plants'!B:B)</f>
        <v>Class 2</v>
      </c>
      <c r="AG230" s="102"/>
      <c r="AH230" s="102">
        <f t="shared" si="79"/>
        <v>19535.964585254096</v>
      </c>
      <c r="AI230" s="44">
        <v>1.4999999999999999E-2</v>
      </c>
      <c r="AJ230" s="15">
        <f>_xlfn.XLOOKUP($AF230,Warranty!B:B,Warranty!E:E)</f>
        <v>1.4999999999999999E-2</v>
      </c>
      <c r="AK230" s="8">
        <f>IF($I230="AUD",VLOOKUP(RIGHT('Wk - Margins'!$G230,3),'AU Freight'!C:G,5,0),0)</f>
        <v>0</v>
      </c>
      <c r="AL230" s="15">
        <f t="shared" si="80"/>
        <v>0</v>
      </c>
      <c r="AM230" s="61">
        <f t="shared" si="82"/>
        <v>20122.043522811717</v>
      </c>
      <c r="AN230" s="63">
        <f t="shared" si="81"/>
        <v>8.1939797298489103E-2</v>
      </c>
      <c r="AQ230" s="147"/>
    </row>
    <row r="231" spans="1:43">
      <c r="A231" s="10" t="str">
        <f>'Input - Bookings'!A231</f>
        <v>10-27</v>
      </c>
      <c r="B231" s="11" t="str">
        <f>'Input - Bookings'!C231</f>
        <v>A</v>
      </c>
      <c r="C231" s="11" t="str">
        <f>'Input - Bookings'!H231</f>
        <v>ID</v>
      </c>
      <c r="D231" s="24" t="str">
        <f>'Input - Bookings'!E231</f>
        <v>067</v>
      </c>
      <c r="E231" s="24" t="str">
        <f>'Input - Bookings'!G231</f>
        <v>PT UNIVERSAL TRAKTOR</v>
      </c>
      <c r="F231" s="24" t="str">
        <f>'Input - Bookings'!I231</f>
        <v>H68642</v>
      </c>
      <c r="G231" s="24" t="str">
        <f>'Input - Bookings'!L231</f>
        <v>A961</v>
      </c>
      <c r="H231" s="24" t="str">
        <f>'Input - Bookings'!M231</f>
        <v>MR16 961</v>
      </c>
      <c r="I231" s="24" t="str">
        <f>'Input - Bookings'!B231</f>
        <v>USD</v>
      </c>
      <c r="J231" s="13" t="str">
        <f>IF(I231="USD",INDEX('AP Plants'!A:A,MATCH(G231,'AP Plants'!D:D,0)),INDEX('Australia Plants'!A:A,MATCH(G231,'Australia Plants'!D:D,0)))</f>
        <v>Maximal</v>
      </c>
      <c r="K231" s="73">
        <v>1</v>
      </c>
      <c r="L231" s="97">
        <v>32987</v>
      </c>
      <c r="M231" s="97">
        <v>21918</v>
      </c>
      <c r="N231" s="99">
        <v>8.1939797298489103E-2</v>
      </c>
      <c r="O231" s="25">
        <f t="shared" si="74"/>
        <v>0.33555643132142965</v>
      </c>
      <c r="P231" s="14">
        <f>IFERROR(IF(OR(B231&amp;C231="PAU",B231&amp;C231="AIN"),VLOOKUP(B231&amp;C231&amp;G231,#REF!,8,0),VLOOKUP(B231&amp;G231,#REF!,8,0)),0)</f>
        <v>0</v>
      </c>
      <c r="Q231" s="15">
        <f t="shared" si="72"/>
        <v>8.1939797298489103E-2</v>
      </c>
      <c r="R231" s="16" t="str">
        <f t="shared" si="75"/>
        <v>AOP</v>
      </c>
      <c r="S231" s="17">
        <f t="shared" si="76"/>
        <v>1795.9564771882842</v>
      </c>
      <c r="T231" s="18">
        <f t="shared" si="77"/>
        <v>1795.9564771882842</v>
      </c>
      <c r="U231" s="23">
        <f t="shared" si="73"/>
        <v>21918</v>
      </c>
      <c r="Y231" s="8" t="str">
        <f t="shared" si="78"/>
        <v>AIDH68642MR16 961</v>
      </c>
      <c r="Z231" s="8" t="str">
        <f>IF(Y231='Input - Bookings'!Q236,"OK","Check")</f>
        <v>Check</v>
      </c>
      <c r="AA231" s="139"/>
      <c r="AB231" s="103"/>
      <c r="AC231" s="103"/>
      <c r="AD231" s="100">
        <v>19535.964585254096</v>
      </c>
      <c r="AE231" s="100"/>
      <c r="AF231" s="8" t="str">
        <f t="array" ref="AF231">_xlfn.XLOOKUP($G231,'AP Plants'!D:D,'AP Plants'!B:B)</f>
        <v>Class 2</v>
      </c>
      <c r="AG231" s="102"/>
      <c r="AH231" s="102">
        <f t="shared" si="79"/>
        <v>19535.964585254096</v>
      </c>
      <c r="AI231" s="44">
        <v>1.4999999999999999E-2</v>
      </c>
      <c r="AJ231" s="15">
        <f>_xlfn.XLOOKUP($AF231,Warranty!B:B,Warranty!E:E)</f>
        <v>1.4999999999999999E-2</v>
      </c>
      <c r="AK231" s="8">
        <f>IF($I231="AUD",VLOOKUP(RIGHT('Wk - Margins'!$G231,3),'AU Freight'!C:G,5,0),0)</f>
        <v>0</v>
      </c>
      <c r="AL231" s="15">
        <f t="shared" si="80"/>
        <v>0</v>
      </c>
      <c r="AM231" s="61">
        <f t="shared" si="82"/>
        <v>20122.043522811717</v>
      </c>
      <c r="AN231" s="63">
        <f t="shared" si="81"/>
        <v>8.1939797298489103E-2</v>
      </c>
      <c r="AQ231" s="147"/>
    </row>
    <row r="232" spans="1:43">
      <c r="A232" s="10" t="str">
        <f>'Input - Bookings'!A232</f>
        <v>10-27</v>
      </c>
      <c r="B232" s="11" t="str">
        <f>'Input - Bookings'!C232</f>
        <v>A</v>
      </c>
      <c r="C232" s="11" t="str">
        <f>'Input - Bookings'!H232</f>
        <v>ID</v>
      </c>
      <c r="D232" s="24" t="str">
        <f>'Input - Bookings'!E232</f>
        <v>067</v>
      </c>
      <c r="E232" s="24" t="str">
        <f>'Input - Bookings'!G232</f>
        <v>PT UNIVERSAL TRAKTOR</v>
      </c>
      <c r="F232" s="24" t="str">
        <f>'Input - Bookings'!I232</f>
        <v>H68641</v>
      </c>
      <c r="G232" s="24" t="str">
        <f>'Input - Bookings'!L232</f>
        <v>A961</v>
      </c>
      <c r="H232" s="24" t="str">
        <f>'Input - Bookings'!M232</f>
        <v>MR16 961</v>
      </c>
      <c r="I232" s="24" t="str">
        <f>'Input - Bookings'!B232</f>
        <v>USD</v>
      </c>
      <c r="J232" s="13" t="str">
        <f>IF(I232="USD",INDEX('AP Plants'!A:A,MATCH(G232,'AP Plants'!D:D,0)),INDEX('Australia Plants'!A:A,MATCH(G232,'Australia Plants'!D:D,0)))</f>
        <v>Maximal</v>
      </c>
      <c r="K232" s="73">
        <v>1</v>
      </c>
      <c r="L232" s="97">
        <v>32987</v>
      </c>
      <c r="M232" s="97">
        <v>21918</v>
      </c>
      <c r="N232" s="99">
        <v>8.1939797298489103E-2</v>
      </c>
      <c r="O232" s="25">
        <f t="shared" si="74"/>
        <v>0.33555643132142965</v>
      </c>
      <c r="P232" s="14">
        <f>IFERROR(IF(OR(B232&amp;C232="PAU",B232&amp;C232="AIN"),VLOOKUP(B232&amp;C232&amp;G232,#REF!,8,0),VLOOKUP(B232&amp;G232,#REF!,8,0)),0)</f>
        <v>0</v>
      </c>
      <c r="Q232" s="15">
        <f t="shared" si="72"/>
        <v>8.1939797298489103E-2</v>
      </c>
      <c r="R232" s="16" t="str">
        <f t="shared" si="75"/>
        <v>AOP</v>
      </c>
      <c r="S232" s="17">
        <f t="shared" si="76"/>
        <v>1795.9564771882842</v>
      </c>
      <c r="T232" s="18">
        <f t="shared" si="77"/>
        <v>1795.9564771882842</v>
      </c>
      <c r="U232" s="23">
        <f t="shared" si="73"/>
        <v>21918</v>
      </c>
      <c r="Y232" s="8" t="str">
        <f t="shared" si="78"/>
        <v>AIDH68641MR16 961</v>
      </c>
      <c r="Z232" s="8" t="str">
        <f>IF(Y232='Input - Bookings'!Q237,"OK","Check")</f>
        <v>Check</v>
      </c>
      <c r="AA232" s="139"/>
      <c r="AB232" s="103"/>
      <c r="AC232" s="103"/>
      <c r="AD232" s="100">
        <v>19535.964585254096</v>
      </c>
      <c r="AE232" s="100"/>
      <c r="AF232" s="8" t="str">
        <f t="array" ref="AF232">_xlfn.XLOOKUP($G232,'AP Plants'!D:D,'AP Plants'!B:B)</f>
        <v>Class 2</v>
      </c>
      <c r="AG232" s="102"/>
      <c r="AH232" s="102">
        <f t="shared" si="79"/>
        <v>19535.964585254096</v>
      </c>
      <c r="AI232" s="44">
        <v>1.4999999999999999E-2</v>
      </c>
      <c r="AJ232" s="15">
        <f>_xlfn.XLOOKUP($AF232,Warranty!B:B,Warranty!E:E)</f>
        <v>1.4999999999999999E-2</v>
      </c>
      <c r="AK232" s="8">
        <f>IF($I232="AUD",VLOOKUP(RIGHT('Wk - Margins'!$G232,3),'AU Freight'!C:G,5,0),0)</f>
        <v>0</v>
      </c>
      <c r="AL232" s="15">
        <f t="shared" si="80"/>
        <v>0</v>
      </c>
      <c r="AM232" s="61">
        <f t="shared" si="82"/>
        <v>20122.043522811717</v>
      </c>
      <c r="AN232" s="63">
        <f t="shared" si="81"/>
        <v>8.1939797298489103E-2</v>
      </c>
      <c r="AQ232" s="147"/>
    </row>
    <row r="233" spans="1:43">
      <c r="A233" s="10" t="str">
        <f>'Input - Bookings'!A233</f>
        <v>10-27</v>
      </c>
      <c r="B233" s="11" t="str">
        <f>'Input - Bookings'!C233</f>
        <v>A</v>
      </c>
      <c r="C233" s="11" t="str">
        <f>'Input - Bookings'!H233</f>
        <v>ID</v>
      </c>
      <c r="D233" s="24" t="str">
        <f>'Input - Bookings'!E233</f>
        <v>067</v>
      </c>
      <c r="E233" s="24" t="str">
        <f>'Input - Bookings'!G233</f>
        <v>PT UNIVERSAL TRAKTOR</v>
      </c>
      <c r="F233" s="24" t="str">
        <f>'Input - Bookings'!I233</f>
        <v>H68640</v>
      </c>
      <c r="G233" s="24" t="str">
        <f>'Input - Bookings'!L233</f>
        <v>A961</v>
      </c>
      <c r="H233" s="24" t="str">
        <f>'Input - Bookings'!M233</f>
        <v>MR16 961</v>
      </c>
      <c r="I233" s="24" t="str">
        <f>'Input - Bookings'!B233</f>
        <v>USD</v>
      </c>
      <c r="J233" s="13" t="str">
        <f>IF(I233="USD",INDEX('AP Plants'!A:A,MATCH(G233,'AP Plants'!D:D,0)),INDEX('Australia Plants'!A:A,MATCH(G233,'Australia Plants'!D:D,0)))</f>
        <v>Maximal</v>
      </c>
      <c r="K233" s="73">
        <v>1</v>
      </c>
      <c r="L233" s="97">
        <v>32987</v>
      </c>
      <c r="M233" s="97">
        <v>21918</v>
      </c>
      <c r="N233" s="99">
        <v>8.1939797298489103E-2</v>
      </c>
      <c r="O233" s="25">
        <f t="shared" si="74"/>
        <v>0.33555643132142965</v>
      </c>
      <c r="P233" s="14">
        <f>IFERROR(IF(OR(B233&amp;C233="PAU",B233&amp;C233="AIN"),VLOOKUP(B233&amp;C233&amp;G233,#REF!,8,0),VLOOKUP(B233&amp;G233,#REF!,8,0)),0)</f>
        <v>0</v>
      </c>
      <c r="Q233" s="15">
        <f t="shared" si="72"/>
        <v>8.1939797298489103E-2</v>
      </c>
      <c r="R233" s="16" t="str">
        <f t="shared" si="75"/>
        <v>AOP</v>
      </c>
      <c r="S233" s="17">
        <f t="shared" si="76"/>
        <v>1795.9564771882842</v>
      </c>
      <c r="T233" s="18">
        <f t="shared" si="77"/>
        <v>1795.9564771882842</v>
      </c>
      <c r="U233" s="23">
        <f t="shared" si="73"/>
        <v>21918</v>
      </c>
      <c r="Y233" s="8" t="str">
        <f t="shared" si="78"/>
        <v>AIDH68640MR16 961</v>
      </c>
      <c r="Z233" s="8" t="str">
        <f>IF(Y233='Input - Bookings'!Q238,"OK","Check")</f>
        <v>Check</v>
      </c>
      <c r="AA233" s="139"/>
      <c r="AB233" s="103"/>
      <c r="AC233" s="103"/>
      <c r="AD233" s="100">
        <v>19535.964585254096</v>
      </c>
      <c r="AE233" s="100"/>
      <c r="AF233" s="8" t="str">
        <f t="array" ref="AF233">_xlfn.XLOOKUP($G233,'AP Plants'!D:D,'AP Plants'!B:B)</f>
        <v>Class 2</v>
      </c>
      <c r="AG233" s="102"/>
      <c r="AH233" s="102">
        <f t="shared" si="79"/>
        <v>19535.964585254096</v>
      </c>
      <c r="AI233" s="44">
        <v>1.4999999999999999E-2</v>
      </c>
      <c r="AJ233" s="15">
        <f>_xlfn.XLOOKUP($AF233,Warranty!B:B,Warranty!E:E)</f>
        <v>1.4999999999999999E-2</v>
      </c>
      <c r="AK233" s="8">
        <f>IF($I233="AUD",VLOOKUP(RIGHT('Wk - Margins'!$G233,3),'AU Freight'!C:G,5,0),0)</f>
        <v>0</v>
      </c>
      <c r="AL233" s="15">
        <f t="shared" si="80"/>
        <v>0</v>
      </c>
      <c r="AM233" s="61">
        <f t="shared" si="82"/>
        <v>20122.043522811717</v>
      </c>
      <c r="AN233" s="63">
        <f t="shared" si="81"/>
        <v>8.1939797298489103E-2</v>
      </c>
      <c r="AQ233" s="147"/>
    </row>
    <row r="234" spans="1:43">
      <c r="A234" s="10" t="str">
        <f>'Input - Bookings'!A234</f>
        <v>10-30</v>
      </c>
      <c r="B234" s="11" t="str">
        <f>'Input - Bookings'!C234</f>
        <v>A</v>
      </c>
      <c r="C234" s="11" t="str">
        <f>'Input - Bookings'!H234</f>
        <v>TH</v>
      </c>
      <c r="D234" s="24" t="str">
        <f>'Input - Bookings'!E234</f>
        <v>065</v>
      </c>
      <c r="E234" s="24" t="str">
        <f>'Input - Bookings'!G234</f>
        <v>DILOK AND SONS CO.,LTD.</v>
      </c>
      <c r="F234" s="24" t="str">
        <f>'Input - Bookings'!I234</f>
        <v>H68911</v>
      </c>
      <c r="G234" s="24" t="str">
        <f>'Input - Bookings'!L234</f>
        <v>A3C7</v>
      </c>
      <c r="H234" s="24" t="str">
        <f>'Input - Bookings'!M234</f>
        <v>T6.0UT</v>
      </c>
      <c r="I234" s="24" t="str">
        <f>'Input - Bookings'!B234</f>
        <v>USD</v>
      </c>
      <c r="J234" s="13" t="str">
        <f>IF(I234="USD",INDEX('AP Plants'!A:A,MATCH(G234,'AP Plants'!D:D,0)),INDEX('Australia Plants'!A:A,MATCH(G234,'Australia Plants'!D:D,0)))</f>
        <v>Ruyi</v>
      </c>
      <c r="K234" s="73">
        <v>1</v>
      </c>
      <c r="L234" s="97">
        <v>14860</v>
      </c>
      <c r="M234" s="97">
        <v>9131.4</v>
      </c>
      <c r="N234" s="99">
        <v>0.33615222954031443</v>
      </c>
      <c r="O234" s="25">
        <f t="shared" si="74"/>
        <v>0.38550471063257064</v>
      </c>
      <c r="P234" s="14">
        <f>IFERROR(IF(OR(B234&amp;C234="PAU",B234&amp;C234="AIN"),VLOOKUP(B234&amp;C234&amp;G234,#REF!,8,0),VLOOKUP(B234&amp;G234,#REF!,8,0)),0)</f>
        <v>0</v>
      </c>
      <c r="Q234" s="15">
        <f t="shared" si="72"/>
        <v>0.33615222954031443</v>
      </c>
      <c r="R234" s="16" t="str">
        <f t="shared" si="75"/>
        <v>AOP</v>
      </c>
      <c r="S234" s="17">
        <f t="shared" si="76"/>
        <v>3069.5404688244271</v>
      </c>
      <c r="T234" s="18">
        <f t="shared" si="77"/>
        <v>3069.5404688244271</v>
      </c>
      <c r="U234" s="23">
        <f t="shared" si="73"/>
        <v>9131.4</v>
      </c>
      <c r="Y234" s="8" t="str">
        <f t="shared" si="78"/>
        <v>ATHH68911T6.0UT</v>
      </c>
      <c r="Z234" s="8" t="str">
        <f>IF(Y234='Input - Bookings'!Q239,"OK","Check")</f>
        <v>Check</v>
      </c>
      <c r="AA234" s="139"/>
      <c r="AB234" s="103"/>
      <c r="AC234" s="103"/>
      <c r="AD234" s="100">
        <v>5885.3005157044408</v>
      </c>
      <c r="AE234" s="100"/>
      <c r="AF234" s="8" t="str">
        <f t="array" ref="AF234">_xlfn.XLOOKUP($G234,'AP Plants'!D:D,'AP Plants'!B:B)</f>
        <v>Class 3</v>
      </c>
      <c r="AG234" s="102"/>
      <c r="AH234" s="102">
        <f t="shared" ref="AH234:AH257" si="83">AD234</f>
        <v>5885.3005157044408</v>
      </c>
      <c r="AI234" s="44">
        <v>1.4999999999999999E-2</v>
      </c>
      <c r="AJ234" s="15">
        <f>_xlfn.XLOOKUP($AF234,Warranty!B:B,Warranty!E:E)</f>
        <v>1.4999999999999999E-2</v>
      </c>
      <c r="AK234" s="8">
        <f>IF($I234="AUD",VLOOKUP(RIGHT('Wk - Margins'!$G234,3),'AU Freight'!C:G,5,0),0)</f>
        <v>0</v>
      </c>
      <c r="AL234" s="15">
        <f t="shared" si="80"/>
        <v>0</v>
      </c>
      <c r="AM234" s="61">
        <f t="shared" si="82"/>
        <v>6061.8595311755726</v>
      </c>
      <c r="AN234" s="63">
        <f t="shared" si="81"/>
        <v>0.33615222954031443</v>
      </c>
      <c r="AQ234" s="147"/>
    </row>
    <row r="235" spans="1:43">
      <c r="A235" s="10" t="str">
        <f>'Input - Bookings'!A235</f>
        <v>10-30</v>
      </c>
      <c r="B235" s="11" t="str">
        <f>'Input - Bookings'!C235</f>
        <v>A</v>
      </c>
      <c r="C235" s="11" t="str">
        <f>'Input - Bookings'!H235</f>
        <v>TH</v>
      </c>
      <c r="D235" s="24" t="str">
        <f>'Input - Bookings'!E235</f>
        <v>065</v>
      </c>
      <c r="E235" s="24" t="str">
        <f>'Input - Bookings'!G235</f>
        <v>DILOK AND SONS CO.,LTD.</v>
      </c>
      <c r="F235" s="24" t="str">
        <f>'Input - Bookings'!I235</f>
        <v>H68912</v>
      </c>
      <c r="G235" s="24" t="str">
        <f>'Input - Bookings'!L235</f>
        <v>A3C7</v>
      </c>
      <c r="H235" s="24" t="str">
        <f>'Input - Bookings'!M235</f>
        <v>T6.0UT</v>
      </c>
      <c r="I235" s="24" t="str">
        <f>'Input - Bookings'!B235</f>
        <v>USD</v>
      </c>
      <c r="J235" s="13" t="str">
        <f>IF(I235="USD",INDEX('AP Plants'!A:A,MATCH(G235,'AP Plants'!D:D,0)),INDEX('Australia Plants'!A:A,MATCH(G235,'Australia Plants'!D:D,0)))</f>
        <v>Ruyi</v>
      </c>
      <c r="K235" s="73">
        <v>1</v>
      </c>
      <c r="L235" s="97">
        <v>14860</v>
      </c>
      <c r="M235" s="97">
        <v>9131.4</v>
      </c>
      <c r="N235" s="99">
        <v>0.33615222954031443</v>
      </c>
      <c r="O235" s="25">
        <f t="shared" si="74"/>
        <v>0.38550471063257064</v>
      </c>
      <c r="P235" s="14">
        <f>IFERROR(IF(OR(B235&amp;C235="PAU",B235&amp;C235="AIN"),VLOOKUP(B235&amp;C235&amp;G235,#REF!,8,0),VLOOKUP(B235&amp;G235,#REF!,8,0)),0)</f>
        <v>0</v>
      </c>
      <c r="Q235" s="15">
        <f t="shared" si="72"/>
        <v>0.33615222954031443</v>
      </c>
      <c r="R235" s="16" t="str">
        <f t="shared" si="75"/>
        <v>AOP</v>
      </c>
      <c r="S235" s="17">
        <f t="shared" si="76"/>
        <v>3069.5404688244271</v>
      </c>
      <c r="T235" s="18">
        <f t="shared" si="77"/>
        <v>3069.5404688244271</v>
      </c>
      <c r="U235" s="23">
        <f t="shared" si="73"/>
        <v>9131.4</v>
      </c>
      <c r="Y235" s="8" t="str">
        <f t="shared" si="78"/>
        <v>ATHH68912T6.0UT</v>
      </c>
      <c r="Z235" s="8" t="str">
        <f>IF(Y235='Input - Bookings'!Q240,"OK","Check")</f>
        <v>Check</v>
      </c>
      <c r="AA235" s="139"/>
      <c r="AB235" s="103"/>
      <c r="AC235" s="103"/>
      <c r="AD235" s="100">
        <v>5885.3005157044408</v>
      </c>
      <c r="AE235" s="100"/>
      <c r="AF235" s="8" t="str">
        <f t="array" ref="AF235">_xlfn.XLOOKUP($G235,'AP Plants'!D:D,'AP Plants'!B:B)</f>
        <v>Class 3</v>
      </c>
      <c r="AG235" s="102"/>
      <c r="AH235" s="102">
        <f t="shared" si="83"/>
        <v>5885.3005157044408</v>
      </c>
      <c r="AI235" s="44">
        <v>1.4999999999999999E-2</v>
      </c>
      <c r="AJ235" s="15">
        <f>_xlfn.XLOOKUP($AF235,Warranty!B:B,Warranty!E:E)</f>
        <v>1.4999999999999999E-2</v>
      </c>
      <c r="AK235" s="8">
        <f>IF($I235="AUD",VLOOKUP(RIGHT('Wk - Margins'!$G235,3),'AU Freight'!C:G,5,0),0)</f>
        <v>0</v>
      </c>
      <c r="AL235" s="15">
        <f t="shared" si="80"/>
        <v>0</v>
      </c>
      <c r="AM235" s="61">
        <f t="shared" si="82"/>
        <v>6061.8595311755726</v>
      </c>
      <c r="AN235" s="63">
        <f t="shared" si="81"/>
        <v>0.33615222954031443</v>
      </c>
      <c r="AQ235" s="147"/>
    </row>
    <row r="236" spans="1:43">
      <c r="A236" s="10" t="str">
        <f>'Input - Bookings'!A236</f>
        <v>10-30</v>
      </c>
      <c r="B236" s="11" t="str">
        <f>'Input - Bookings'!C236</f>
        <v>A</v>
      </c>
      <c r="C236" s="11" t="str">
        <f>'Input - Bookings'!H236</f>
        <v>TH</v>
      </c>
      <c r="D236" s="24" t="str">
        <f>'Input - Bookings'!E236</f>
        <v>065</v>
      </c>
      <c r="E236" s="24" t="str">
        <f>'Input - Bookings'!G236</f>
        <v>DILOK AND SONS CO.,LTD.</v>
      </c>
      <c r="F236" s="24" t="str">
        <f>'Input - Bookings'!I236</f>
        <v>H68913</v>
      </c>
      <c r="G236" s="24" t="str">
        <f>'Input - Bookings'!L236</f>
        <v>A3C7</v>
      </c>
      <c r="H236" s="24" t="str">
        <f>'Input - Bookings'!M236</f>
        <v>T6.0UT</v>
      </c>
      <c r="I236" s="24" t="str">
        <f>'Input - Bookings'!B236</f>
        <v>USD</v>
      </c>
      <c r="J236" s="13" t="str">
        <f>IF(I236="USD",INDEX('AP Plants'!A:A,MATCH(G236,'AP Plants'!D:D,0)),INDEX('Australia Plants'!A:A,MATCH(G236,'Australia Plants'!D:D,0)))</f>
        <v>Ruyi</v>
      </c>
      <c r="K236" s="73">
        <v>1</v>
      </c>
      <c r="L236" s="97">
        <v>14860</v>
      </c>
      <c r="M236" s="97">
        <v>9131.4</v>
      </c>
      <c r="N236" s="99">
        <v>0.33615222954031443</v>
      </c>
      <c r="O236" s="25">
        <f t="shared" si="74"/>
        <v>0.38550471063257064</v>
      </c>
      <c r="P236" s="14">
        <f>IFERROR(IF(OR(B236&amp;C236="PAU",B236&amp;C236="AIN"),VLOOKUP(B236&amp;C236&amp;G236,#REF!,8,0),VLOOKUP(B236&amp;G236,#REF!,8,0)),0)</f>
        <v>0</v>
      </c>
      <c r="Q236" s="15">
        <f t="shared" si="72"/>
        <v>0.33615222954031443</v>
      </c>
      <c r="R236" s="16" t="str">
        <f t="shared" si="75"/>
        <v>AOP</v>
      </c>
      <c r="S236" s="17">
        <f t="shared" si="76"/>
        <v>3069.5404688244271</v>
      </c>
      <c r="T236" s="18">
        <f t="shared" si="77"/>
        <v>3069.5404688244271</v>
      </c>
      <c r="U236" s="23">
        <f t="shared" si="73"/>
        <v>9131.4</v>
      </c>
      <c r="Y236" s="8" t="str">
        <f t="shared" si="78"/>
        <v>ATHH68913T6.0UT</v>
      </c>
      <c r="Z236" s="8" t="str">
        <f>IF(Y236='Input - Bookings'!Q241,"OK","Check")</f>
        <v>Check</v>
      </c>
      <c r="AA236" s="139"/>
      <c r="AB236" s="103"/>
      <c r="AC236" s="103"/>
      <c r="AD236" s="100">
        <v>5885.3005157044408</v>
      </c>
      <c r="AE236" s="100"/>
      <c r="AF236" s="8" t="str">
        <f t="array" ref="AF236">_xlfn.XLOOKUP($G236,'AP Plants'!D:D,'AP Plants'!B:B)</f>
        <v>Class 3</v>
      </c>
      <c r="AG236" s="102"/>
      <c r="AH236" s="102">
        <f t="shared" si="83"/>
        <v>5885.3005157044408</v>
      </c>
      <c r="AI236" s="44">
        <v>1.4999999999999999E-2</v>
      </c>
      <c r="AJ236" s="15">
        <f>_xlfn.XLOOKUP($AF236,Warranty!B:B,Warranty!E:E)</f>
        <v>1.4999999999999999E-2</v>
      </c>
      <c r="AK236" s="8">
        <f>IF($I236="AUD",VLOOKUP(RIGHT('Wk - Margins'!$G236,3),'AU Freight'!C:G,5,0),0)</f>
        <v>0</v>
      </c>
      <c r="AL236" s="15">
        <f t="shared" si="80"/>
        <v>0</v>
      </c>
      <c r="AM236" s="61">
        <f t="shared" si="82"/>
        <v>6061.8595311755726</v>
      </c>
      <c r="AN236" s="63">
        <f t="shared" si="81"/>
        <v>0.33615222954031443</v>
      </c>
      <c r="AQ236" s="147"/>
    </row>
    <row r="237" spans="1:43">
      <c r="A237" s="10" t="str">
        <f>'Input - Bookings'!A237</f>
        <v>10-30</v>
      </c>
      <c r="B237" s="11" t="str">
        <f>'Input - Bookings'!C237</f>
        <v>A</v>
      </c>
      <c r="C237" s="11" t="str">
        <f>'Input - Bookings'!H237</f>
        <v>TH</v>
      </c>
      <c r="D237" s="24" t="str">
        <f>'Input - Bookings'!E237</f>
        <v>065</v>
      </c>
      <c r="E237" s="24" t="str">
        <f>'Input - Bookings'!G237</f>
        <v>DILOK AND SONS CO.,LTD.</v>
      </c>
      <c r="F237" s="24" t="str">
        <f>'Input - Bookings'!I237</f>
        <v>H68914</v>
      </c>
      <c r="G237" s="24" t="str">
        <f>'Input - Bookings'!L237</f>
        <v>A3C7</v>
      </c>
      <c r="H237" s="24" t="str">
        <f>'Input - Bookings'!M237</f>
        <v>T6.0UT</v>
      </c>
      <c r="I237" s="24" t="str">
        <f>'Input - Bookings'!B237</f>
        <v>USD</v>
      </c>
      <c r="J237" s="13" t="str">
        <f>IF(I237="USD",INDEX('AP Plants'!A:A,MATCH(G237,'AP Plants'!D:D,0)),INDEX('Australia Plants'!A:A,MATCH(G237,'Australia Plants'!D:D,0)))</f>
        <v>Ruyi</v>
      </c>
      <c r="K237" s="73">
        <v>1</v>
      </c>
      <c r="L237" s="97">
        <v>14860</v>
      </c>
      <c r="M237" s="97">
        <v>9131.4</v>
      </c>
      <c r="N237" s="99">
        <v>0.33615222954031443</v>
      </c>
      <c r="O237" s="25">
        <f t="shared" ref="O237:O251" si="84">1-M237/L237</f>
        <v>0.38550471063257064</v>
      </c>
      <c r="P237" s="14">
        <f>IFERROR(IF(OR(B237&amp;C237="PAU",B237&amp;C237="AIN"),VLOOKUP(B237&amp;C237&amp;G237,#REF!,8,0),VLOOKUP(B237&amp;G237,#REF!,8,0)),0)</f>
        <v>0</v>
      </c>
      <c r="Q237" s="15">
        <f t="shared" ref="Q237:Q251" si="85">N237-P237</f>
        <v>0.33615222954031443</v>
      </c>
      <c r="R237" s="16" t="str">
        <f t="shared" ref="R237:R251" si="86">IF(Q237&gt;=0%,"AOP",IF(Q237&gt;=-2%,"GM",IF(Q237&gt;=-6%,"MD","VP")))</f>
        <v>AOP</v>
      </c>
      <c r="S237" s="17">
        <f t="shared" si="76"/>
        <v>3069.5404688244271</v>
      </c>
      <c r="T237" s="18">
        <f t="shared" ref="T237:T251" si="87">IF(I237="USD",S237,S237/$X$6)</f>
        <v>3069.5404688244271</v>
      </c>
      <c r="U237" s="23">
        <f t="shared" si="73"/>
        <v>9131.4</v>
      </c>
      <c r="Y237" s="8" t="str">
        <f t="shared" ref="Y237:Y251" si="88">B237&amp;C237&amp;F237&amp;H237</f>
        <v>ATHH68914T6.0UT</v>
      </c>
      <c r="Z237" s="8" t="str">
        <f>IF(Y237='Input - Bookings'!Q242,"OK","Check")</f>
        <v>Check</v>
      </c>
      <c r="AA237" s="139"/>
      <c r="AB237" s="103"/>
      <c r="AC237" s="103"/>
      <c r="AD237" s="100">
        <v>5885.3005157044408</v>
      </c>
      <c r="AE237" s="100"/>
      <c r="AF237" s="8" t="str">
        <f t="array" ref="AF237">_xlfn.XLOOKUP($G237,'AP Plants'!D:D,'AP Plants'!B:B)</f>
        <v>Class 3</v>
      </c>
      <c r="AG237" s="102"/>
      <c r="AH237" s="102">
        <f t="shared" si="83"/>
        <v>5885.3005157044408</v>
      </c>
      <c r="AI237" s="44">
        <v>1.4999999999999999E-2</v>
      </c>
      <c r="AJ237" s="15">
        <f>_xlfn.XLOOKUP($AF237,Warranty!B:B,Warranty!E:E)</f>
        <v>1.4999999999999999E-2</v>
      </c>
      <c r="AK237" s="8">
        <f>IF($I237="AUD",VLOOKUP(RIGHT('Wk - Margins'!$G237,3),'AU Freight'!C:G,5,0),0)</f>
        <v>0</v>
      </c>
      <c r="AL237" s="15">
        <f t="shared" si="80"/>
        <v>0</v>
      </c>
      <c r="AM237" s="61">
        <f t="shared" si="82"/>
        <v>6061.8595311755726</v>
      </c>
      <c r="AN237" s="63">
        <f t="shared" si="81"/>
        <v>0.33615222954031443</v>
      </c>
      <c r="AQ237" s="147"/>
    </row>
    <row r="238" spans="1:43">
      <c r="A238" s="10" t="str">
        <f>'Input - Bookings'!A238</f>
        <v>10-30</v>
      </c>
      <c r="B238" s="11" t="str">
        <f>'Input - Bookings'!C238</f>
        <v>A</v>
      </c>
      <c r="C238" s="11" t="str">
        <f>'Input - Bookings'!H238</f>
        <v>IN</v>
      </c>
      <c r="D238" s="24" t="str">
        <f>'Input - Bookings'!E238</f>
        <v>067</v>
      </c>
      <c r="E238" s="24" t="str">
        <f>'Input - Bookings'!G238</f>
        <v>ELECTROMECH LIFT TRUCKS</v>
      </c>
      <c r="F238" s="146" t="str">
        <f>'Input - Bookings'!I238</f>
        <v>H68878</v>
      </c>
      <c r="G238" s="24" t="str">
        <f>'Input - Bookings'!L238</f>
        <v>A3D4</v>
      </c>
      <c r="H238" s="24" t="str">
        <f>'Input - Bookings'!M238</f>
        <v>MPC15</v>
      </c>
      <c r="I238" s="24" t="str">
        <f>'Input - Bookings'!B238</f>
        <v>USD</v>
      </c>
      <c r="J238" s="13" t="str">
        <f>IF(I238="USD",INDEX('AP Plants'!A:A,MATCH(G238,'AP Plants'!D:D,0)),INDEX('Australia Plants'!A:A,MATCH(G238,'Australia Plants'!D:D,0)))</f>
        <v>Staxx</v>
      </c>
      <c r="K238" s="73">
        <v>1</v>
      </c>
      <c r="L238" s="97">
        <v>1710</v>
      </c>
      <c r="M238" s="97">
        <v>1210.5</v>
      </c>
      <c r="N238" s="99">
        <v>0.33556884302330248</v>
      </c>
      <c r="O238" s="25">
        <f t="shared" si="84"/>
        <v>0.29210526315789476</v>
      </c>
      <c r="P238" s="14">
        <f>IFERROR(IF(OR(B238&amp;C238="PAU",B238&amp;C238="AIN"),VLOOKUP(B238&amp;C238&amp;G238,#REF!,8,0),VLOOKUP(B238&amp;G238,#REF!,8,0)),0)</f>
        <v>0</v>
      </c>
      <c r="Q238" s="15">
        <f t="shared" si="85"/>
        <v>0.33556884302330248</v>
      </c>
      <c r="R238" s="16" t="str">
        <f t="shared" si="86"/>
        <v>AOP</v>
      </c>
      <c r="S238" s="17">
        <f t="shared" si="76"/>
        <v>406.20608447970767</v>
      </c>
      <c r="T238" s="18">
        <f t="shared" si="87"/>
        <v>406.20608447970767</v>
      </c>
      <c r="U238" s="23">
        <f t="shared" si="73"/>
        <v>1210.5</v>
      </c>
      <c r="Y238" s="8" t="str">
        <f t="shared" si="88"/>
        <v>AINH68878MPC15</v>
      </c>
      <c r="Z238" s="8" t="str">
        <f>IF(Y238='Input - Bookings'!Q225,"OK","Check")</f>
        <v>Check</v>
      </c>
      <c r="AA238" s="139"/>
      <c r="AB238" s="103"/>
      <c r="AC238" s="103"/>
      <c r="AD238" s="100">
        <f>770.867879145915+10</f>
        <v>780.86787914591503</v>
      </c>
      <c r="AE238" s="100"/>
      <c r="AF238" s="8" t="str">
        <f t="array" ref="AF238">_xlfn.XLOOKUP($G238,'AP Plants'!D:D,'AP Plants'!B:B)</f>
        <v>Class 3</v>
      </c>
      <c r="AG238" s="102"/>
      <c r="AH238" s="102">
        <f t="shared" si="83"/>
        <v>780.86787914591503</v>
      </c>
      <c r="AI238" s="44">
        <v>1.4999999999999999E-2</v>
      </c>
      <c r="AJ238" s="15">
        <f>_xlfn.XLOOKUP($AF238,Warranty!B:B,Warranty!E:E)</f>
        <v>1.4999999999999999E-2</v>
      </c>
      <c r="AK238" s="8">
        <f>IF($I238="AUD",VLOOKUP(RIGHT('Wk - Margins'!$G238,3),'AU Freight'!C:G,5,0),0)</f>
        <v>0</v>
      </c>
      <c r="AL238" s="15">
        <f t="shared" si="80"/>
        <v>0</v>
      </c>
      <c r="AM238" s="61">
        <f t="shared" si="82"/>
        <v>804.29391552029233</v>
      </c>
      <c r="AN238" s="63">
        <f t="shared" si="81"/>
        <v>0.33556884302330248</v>
      </c>
      <c r="AQ238" s="147"/>
    </row>
    <row r="239" spans="1:43">
      <c r="A239" s="10" t="str">
        <f>'Input - Bookings'!A239</f>
        <v>10-30</v>
      </c>
      <c r="B239" s="11" t="str">
        <f>'Input - Bookings'!C239</f>
        <v>A</v>
      </c>
      <c r="C239" s="11" t="str">
        <f>'Input - Bookings'!H239</f>
        <v>IN</v>
      </c>
      <c r="D239" s="24" t="str">
        <f>'Input - Bookings'!E239</f>
        <v>067</v>
      </c>
      <c r="E239" s="24" t="str">
        <f>'Input - Bookings'!G239</f>
        <v>ELECTROMECH LIFT TRUCKS</v>
      </c>
      <c r="F239" s="146" t="str">
        <f>'Input - Bookings'!I239</f>
        <v>H68880</v>
      </c>
      <c r="G239" s="24" t="str">
        <f>'Input - Bookings'!L239</f>
        <v>A3D4</v>
      </c>
      <c r="H239" s="24" t="str">
        <f>'Input - Bookings'!M239</f>
        <v>MPC15</v>
      </c>
      <c r="I239" s="24" t="str">
        <f>'Input - Bookings'!B239</f>
        <v>USD</v>
      </c>
      <c r="J239" s="13" t="str">
        <f>IF(I239="USD",INDEX('AP Plants'!A:A,MATCH(G239,'AP Plants'!D:D,0)),INDEX('Australia Plants'!A:A,MATCH(G239,'Australia Plants'!D:D,0)))</f>
        <v>Staxx</v>
      </c>
      <c r="K239" s="73">
        <v>1</v>
      </c>
      <c r="L239" s="97">
        <v>1710</v>
      </c>
      <c r="M239" s="97">
        <v>1210.5</v>
      </c>
      <c r="N239" s="99">
        <v>0.33556884302330248</v>
      </c>
      <c r="O239" s="25">
        <f t="shared" si="84"/>
        <v>0.29210526315789476</v>
      </c>
      <c r="P239" s="14">
        <f>IFERROR(IF(OR(B239&amp;C239="PAU",B239&amp;C239="AIN"),VLOOKUP(B239&amp;C239&amp;G239,#REF!,8,0),VLOOKUP(B239&amp;G239,#REF!,8,0)),0)</f>
        <v>0</v>
      </c>
      <c r="Q239" s="15">
        <f t="shared" si="85"/>
        <v>0.33556884302330248</v>
      </c>
      <c r="R239" s="16" t="str">
        <f t="shared" si="86"/>
        <v>AOP</v>
      </c>
      <c r="S239" s="17">
        <f t="shared" si="76"/>
        <v>406.20608447970767</v>
      </c>
      <c r="T239" s="18">
        <f t="shared" si="87"/>
        <v>406.20608447970767</v>
      </c>
      <c r="U239" s="23">
        <f t="shared" si="73"/>
        <v>1210.5</v>
      </c>
      <c r="Y239" s="8" t="str">
        <f t="shared" si="88"/>
        <v>AINH68880MPC15</v>
      </c>
      <c r="Z239" s="8" t="str">
        <f>IF(Y239='Input - Bookings'!Q226,"OK","Check")</f>
        <v>Check</v>
      </c>
      <c r="AA239" s="139"/>
      <c r="AB239" s="103"/>
      <c r="AC239" s="103"/>
      <c r="AD239" s="100">
        <f t="shared" ref="AD239:AD257" si="89">770.867879145915+10</f>
        <v>780.86787914591503</v>
      </c>
      <c r="AE239" s="100"/>
      <c r="AF239" s="8" t="str">
        <f t="array" ref="AF239">_xlfn.XLOOKUP($G239,'AP Plants'!D:D,'AP Plants'!B:B)</f>
        <v>Class 3</v>
      </c>
      <c r="AG239" s="102"/>
      <c r="AH239" s="102">
        <f t="shared" si="83"/>
        <v>780.86787914591503</v>
      </c>
      <c r="AI239" s="44">
        <v>1.4999999999999999E-2</v>
      </c>
      <c r="AJ239" s="15">
        <f>_xlfn.XLOOKUP($AF239,Warranty!B:B,Warranty!E:E)</f>
        <v>1.4999999999999999E-2</v>
      </c>
      <c r="AK239" s="8">
        <f>IF($I239="AUD",VLOOKUP(RIGHT('Wk - Margins'!$G239,3),'AU Freight'!C:G,5,0),0)</f>
        <v>0</v>
      </c>
      <c r="AL239" s="15">
        <f t="shared" si="80"/>
        <v>0</v>
      </c>
      <c r="AM239" s="61">
        <f t="shared" si="82"/>
        <v>804.29391552029233</v>
      </c>
      <c r="AN239" s="63">
        <f t="shared" si="81"/>
        <v>0.33556884302330248</v>
      </c>
      <c r="AQ239" s="147"/>
    </row>
    <row r="240" spans="1:43">
      <c r="A240" s="10" t="str">
        <f>'Input - Bookings'!A240</f>
        <v>10-30</v>
      </c>
      <c r="B240" s="11" t="str">
        <f>'Input - Bookings'!C240</f>
        <v>A</v>
      </c>
      <c r="C240" s="11" t="str">
        <f>'Input - Bookings'!H240</f>
        <v>IN</v>
      </c>
      <c r="D240" s="24" t="str">
        <f>'Input - Bookings'!E240</f>
        <v>067</v>
      </c>
      <c r="E240" s="24" t="str">
        <f>'Input - Bookings'!G240</f>
        <v>ELECTROMECH LIFT TRUCKS</v>
      </c>
      <c r="F240" s="146" t="str">
        <f>'Input - Bookings'!I240</f>
        <v>H68881</v>
      </c>
      <c r="G240" s="24" t="str">
        <f>'Input - Bookings'!L240</f>
        <v>A3D4</v>
      </c>
      <c r="H240" s="24" t="str">
        <f>'Input - Bookings'!M240</f>
        <v>MPC15</v>
      </c>
      <c r="I240" s="24" t="str">
        <f>'Input - Bookings'!B240</f>
        <v>USD</v>
      </c>
      <c r="J240" s="13" t="str">
        <f>IF(I240="USD",INDEX('AP Plants'!A:A,MATCH(G240,'AP Plants'!D:D,0)),INDEX('Australia Plants'!A:A,MATCH(G240,'Australia Plants'!D:D,0)))</f>
        <v>Staxx</v>
      </c>
      <c r="K240" s="73">
        <v>1</v>
      </c>
      <c r="L240" s="97">
        <v>1710</v>
      </c>
      <c r="M240" s="97">
        <v>1210.5</v>
      </c>
      <c r="N240" s="99">
        <v>0.33556884302330248</v>
      </c>
      <c r="O240" s="25">
        <f t="shared" si="84"/>
        <v>0.29210526315789476</v>
      </c>
      <c r="P240" s="14">
        <f>IFERROR(IF(OR(B240&amp;C240="PAU",B240&amp;C240="AIN"),VLOOKUP(B240&amp;C240&amp;G240,#REF!,8,0),VLOOKUP(B240&amp;G240,#REF!,8,0)),0)</f>
        <v>0</v>
      </c>
      <c r="Q240" s="15">
        <f t="shared" si="85"/>
        <v>0.33556884302330248</v>
      </c>
      <c r="R240" s="16" t="str">
        <f t="shared" si="86"/>
        <v>AOP</v>
      </c>
      <c r="S240" s="17">
        <f t="shared" si="76"/>
        <v>406.20608447970767</v>
      </c>
      <c r="T240" s="18">
        <f t="shared" si="87"/>
        <v>406.20608447970767</v>
      </c>
      <c r="U240" s="23">
        <f t="shared" si="73"/>
        <v>1210.5</v>
      </c>
      <c r="Y240" s="8" t="str">
        <f t="shared" si="88"/>
        <v>AINH68881MPC15</v>
      </c>
      <c r="Z240" s="8" t="str">
        <f>IF(Y240='Input - Bookings'!Q227,"OK","Check")</f>
        <v>Check</v>
      </c>
      <c r="AA240" s="139"/>
      <c r="AB240" s="103"/>
      <c r="AC240" s="103"/>
      <c r="AD240" s="100">
        <f t="shared" si="89"/>
        <v>780.86787914591503</v>
      </c>
      <c r="AE240" s="100"/>
      <c r="AF240" s="8" t="str">
        <f t="array" ref="AF240">_xlfn.XLOOKUP($G240,'AP Plants'!D:D,'AP Plants'!B:B)</f>
        <v>Class 3</v>
      </c>
      <c r="AG240" s="102"/>
      <c r="AH240" s="102">
        <f t="shared" si="83"/>
        <v>780.86787914591503</v>
      </c>
      <c r="AI240" s="44">
        <v>1.4999999999999999E-2</v>
      </c>
      <c r="AJ240" s="15">
        <f>_xlfn.XLOOKUP($AF240,Warranty!B:B,Warranty!E:E)</f>
        <v>1.4999999999999999E-2</v>
      </c>
      <c r="AK240" s="8">
        <f>IF($I240="AUD",VLOOKUP(RIGHT('Wk - Margins'!$G240,3),'AU Freight'!C:G,5,0),0)</f>
        <v>0</v>
      </c>
      <c r="AL240" s="15">
        <f t="shared" si="80"/>
        <v>0</v>
      </c>
      <c r="AM240" s="61">
        <f t="shared" si="82"/>
        <v>804.29391552029233</v>
      </c>
      <c r="AN240" s="63">
        <f t="shared" si="81"/>
        <v>0.33556884302330248</v>
      </c>
      <c r="AQ240" s="147"/>
    </row>
    <row r="241" spans="1:43">
      <c r="A241" s="10" t="str">
        <f>'Input - Bookings'!A241</f>
        <v>10-30</v>
      </c>
      <c r="B241" s="11" t="str">
        <f>'Input - Bookings'!C241</f>
        <v>A</v>
      </c>
      <c r="C241" s="11" t="str">
        <f>'Input - Bookings'!H241</f>
        <v>IN</v>
      </c>
      <c r="D241" s="24" t="str">
        <f>'Input - Bookings'!E241</f>
        <v>067</v>
      </c>
      <c r="E241" s="24" t="str">
        <f>'Input - Bookings'!G241</f>
        <v>ELECTROMECH LIFT TRUCKS</v>
      </c>
      <c r="F241" s="146" t="str">
        <f>'Input - Bookings'!I241</f>
        <v>H68882</v>
      </c>
      <c r="G241" s="24" t="str">
        <f>'Input - Bookings'!L241</f>
        <v>A3D4</v>
      </c>
      <c r="H241" s="24" t="str">
        <f>'Input - Bookings'!M241</f>
        <v>MPC15</v>
      </c>
      <c r="I241" s="24" t="str">
        <f>'Input - Bookings'!B241</f>
        <v>USD</v>
      </c>
      <c r="J241" s="13" t="str">
        <f>IF(I241="USD",INDEX('AP Plants'!A:A,MATCH(G241,'AP Plants'!D:D,0)),INDEX('Australia Plants'!A:A,MATCH(G241,'Australia Plants'!D:D,0)))</f>
        <v>Staxx</v>
      </c>
      <c r="K241" s="73">
        <v>1</v>
      </c>
      <c r="L241" s="97">
        <v>1710</v>
      </c>
      <c r="M241" s="97">
        <v>1210.5</v>
      </c>
      <c r="N241" s="99">
        <v>0.33556884302330248</v>
      </c>
      <c r="O241" s="25">
        <f t="shared" si="84"/>
        <v>0.29210526315789476</v>
      </c>
      <c r="P241" s="14">
        <f>IFERROR(IF(OR(B241&amp;C241="PAU",B241&amp;C241="AIN"),VLOOKUP(B241&amp;C241&amp;G241,#REF!,8,0),VLOOKUP(B241&amp;G241,#REF!,8,0)),0)</f>
        <v>0</v>
      </c>
      <c r="Q241" s="15">
        <f t="shared" si="85"/>
        <v>0.33556884302330248</v>
      </c>
      <c r="R241" s="16" t="str">
        <f t="shared" si="86"/>
        <v>AOP</v>
      </c>
      <c r="S241" s="17">
        <f t="shared" si="76"/>
        <v>406.20608447970767</v>
      </c>
      <c r="T241" s="18">
        <f t="shared" si="87"/>
        <v>406.20608447970767</v>
      </c>
      <c r="U241" s="23">
        <f t="shared" si="73"/>
        <v>1210.5</v>
      </c>
      <c r="Y241" s="8" t="str">
        <f t="shared" si="88"/>
        <v>AINH68882MPC15</v>
      </c>
      <c r="Z241" s="8" t="str">
        <f>IF(Y241='Input - Bookings'!Q228,"OK","Check")</f>
        <v>Check</v>
      </c>
      <c r="AA241" s="139"/>
      <c r="AB241" s="103"/>
      <c r="AC241" s="103"/>
      <c r="AD241" s="100">
        <f t="shared" si="89"/>
        <v>780.86787914591503</v>
      </c>
      <c r="AE241" s="110"/>
      <c r="AF241" s="8" t="str">
        <f t="array" ref="AF241">_xlfn.XLOOKUP($G241,'AP Plants'!D:D,'AP Plants'!B:B)</f>
        <v>Class 3</v>
      </c>
      <c r="AG241" s="102"/>
      <c r="AH241" s="102">
        <f t="shared" si="83"/>
        <v>780.86787914591503</v>
      </c>
      <c r="AI241" s="44">
        <v>1.4999999999999999E-2</v>
      </c>
      <c r="AJ241" s="15">
        <f>_xlfn.XLOOKUP($AF241,Warranty!B:B,Warranty!E:E)</f>
        <v>1.4999999999999999E-2</v>
      </c>
      <c r="AK241" s="8">
        <f>IF($I241="AUD",VLOOKUP(RIGHT('Wk - Margins'!$G241,3),'AU Freight'!C:G,5,0),0)</f>
        <v>0</v>
      </c>
      <c r="AL241" s="15">
        <f t="shared" si="80"/>
        <v>0</v>
      </c>
      <c r="AM241" s="61">
        <f t="shared" si="82"/>
        <v>804.29391552029233</v>
      </c>
      <c r="AN241" s="63">
        <f t="shared" si="81"/>
        <v>0.33556884302330248</v>
      </c>
      <c r="AQ241" s="147"/>
    </row>
    <row r="242" spans="1:43">
      <c r="A242" s="10" t="str">
        <f>'Input - Bookings'!A242</f>
        <v>10-30</v>
      </c>
      <c r="B242" s="11" t="str">
        <f>'Input - Bookings'!C242</f>
        <v>A</v>
      </c>
      <c r="C242" s="11" t="str">
        <f>'Input - Bookings'!H242</f>
        <v>IN</v>
      </c>
      <c r="D242" s="24" t="str">
        <f>'Input - Bookings'!E242</f>
        <v>067</v>
      </c>
      <c r="E242" s="24" t="str">
        <f>'Input - Bookings'!G242</f>
        <v>ELECTROMECH LIFT TRUCKS</v>
      </c>
      <c r="F242" s="146" t="str">
        <f>'Input - Bookings'!I242</f>
        <v>H68883</v>
      </c>
      <c r="G242" s="24" t="str">
        <f>'Input - Bookings'!L242</f>
        <v>A3D4</v>
      </c>
      <c r="H242" s="24" t="str">
        <f>'Input - Bookings'!M242</f>
        <v>MPC15</v>
      </c>
      <c r="I242" s="24" t="str">
        <f>'Input - Bookings'!B242</f>
        <v>USD</v>
      </c>
      <c r="J242" s="13" t="str">
        <f>IF(I242="USD",INDEX('AP Plants'!A:A,MATCH(G242,'AP Plants'!D:D,0)),INDEX('Australia Plants'!A:A,MATCH(G242,'Australia Plants'!D:D,0)))</f>
        <v>Staxx</v>
      </c>
      <c r="K242" s="73">
        <v>1</v>
      </c>
      <c r="L242" s="97">
        <v>1710</v>
      </c>
      <c r="M242" s="97">
        <v>1210.5</v>
      </c>
      <c r="N242" s="99">
        <v>0.33556884302330248</v>
      </c>
      <c r="O242" s="25">
        <f t="shared" si="84"/>
        <v>0.29210526315789476</v>
      </c>
      <c r="P242" s="14">
        <f>IFERROR(IF(OR(B242&amp;C242="PAU",B242&amp;C242="AIN"),VLOOKUP(B242&amp;C242&amp;G242,#REF!,8,0),VLOOKUP(B242&amp;G242,#REF!,8,0)),0)</f>
        <v>0</v>
      </c>
      <c r="Q242" s="15">
        <f t="shared" si="85"/>
        <v>0.33556884302330248</v>
      </c>
      <c r="R242" s="16" t="str">
        <f t="shared" si="86"/>
        <v>AOP</v>
      </c>
      <c r="S242" s="17">
        <f t="shared" si="76"/>
        <v>406.20608447970767</v>
      </c>
      <c r="T242" s="18">
        <f t="shared" si="87"/>
        <v>406.20608447970767</v>
      </c>
      <c r="U242" s="23">
        <f t="shared" si="73"/>
        <v>1210.5</v>
      </c>
      <c r="Y242" s="8" t="str">
        <f t="shared" si="88"/>
        <v>AINH68883MPC15</v>
      </c>
      <c r="Z242" s="8" t="str">
        <f>IF(Y242='Input - Bookings'!Q229,"OK","Check")</f>
        <v>Check</v>
      </c>
      <c r="AA242" s="139"/>
      <c r="AB242" s="103"/>
      <c r="AC242" s="103"/>
      <c r="AD242" s="100">
        <f t="shared" si="89"/>
        <v>780.86787914591503</v>
      </c>
      <c r="AE242" s="110"/>
      <c r="AF242" s="8" t="str">
        <f t="array" ref="AF242">_xlfn.XLOOKUP($G242,'AP Plants'!D:D,'AP Plants'!B:B)</f>
        <v>Class 3</v>
      </c>
      <c r="AG242" s="102"/>
      <c r="AH242" s="102">
        <f t="shared" si="83"/>
        <v>780.86787914591503</v>
      </c>
      <c r="AI242" s="44">
        <v>1.4999999999999999E-2</v>
      </c>
      <c r="AJ242" s="15">
        <f>_xlfn.XLOOKUP($AF242,Warranty!B:B,Warranty!E:E)</f>
        <v>1.4999999999999999E-2</v>
      </c>
      <c r="AK242" s="8">
        <f>IF($I242="AUD",VLOOKUP(RIGHT('Wk - Margins'!$G242,3),'AU Freight'!C:G,5,0),0)</f>
        <v>0</v>
      </c>
      <c r="AL242" s="15">
        <f t="shared" si="80"/>
        <v>0</v>
      </c>
      <c r="AM242" s="61">
        <f t="shared" si="82"/>
        <v>804.29391552029233</v>
      </c>
      <c r="AN242" s="63">
        <f t="shared" si="81"/>
        <v>0.33556884302330248</v>
      </c>
      <c r="AQ242" s="147"/>
    </row>
    <row r="243" spans="1:43">
      <c r="A243" s="10" t="str">
        <f>'Input - Bookings'!A243</f>
        <v>10-30</v>
      </c>
      <c r="B243" s="11" t="str">
        <f>'Input - Bookings'!C243</f>
        <v>A</v>
      </c>
      <c r="C243" s="11" t="str">
        <f>'Input - Bookings'!H243</f>
        <v>IN</v>
      </c>
      <c r="D243" s="24" t="str">
        <f>'Input - Bookings'!E243</f>
        <v>067</v>
      </c>
      <c r="E243" s="24" t="str">
        <f>'Input - Bookings'!G243</f>
        <v>ELECTROMECH LIFT TRUCKS</v>
      </c>
      <c r="F243" s="146" t="str">
        <f>'Input - Bookings'!I243</f>
        <v>H68884</v>
      </c>
      <c r="G243" s="24" t="str">
        <f>'Input - Bookings'!L243</f>
        <v>A3D4</v>
      </c>
      <c r="H243" s="24" t="str">
        <f>'Input - Bookings'!M243</f>
        <v>MPC15</v>
      </c>
      <c r="I243" s="24" t="str">
        <f>'Input - Bookings'!B243</f>
        <v>USD</v>
      </c>
      <c r="J243" s="13" t="str">
        <f>IF(I243="USD",INDEX('AP Plants'!A:A,MATCH(G243,'AP Plants'!D:D,0)),INDEX('Australia Plants'!A:A,MATCH(G243,'Australia Plants'!D:D,0)))</f>
        <v>Staxx</v>
      </c>
      <c r="K243" s="73">
        <v>1</v>
      </c>
      <c r="L243" s="97">
        <v>1710</v>
      </c>
      <c r="M243" s="97">
        <v>1210.5</v>
      </c>
      <c r="N243" s="99">
        <v>0.33556884302330248</v>
      </c>
      <c r="O243" s="25">
        <f t="shared" si="84"/>
        <v>0.29210526315789476</v>
      </c>
      <c r="P243" s="14">
        <f>IFERROR(IF(OR(B243&amp;C243="PAU",B243&amp;C243="AIN"),VLOOKUP(B243&amp;C243&amp;G243,#REF!,8,0),VLOOKUP(B243&amp;G243,#REF!,8,0)),0)</f>
        <v>0</v>
      </c>
      <c r="Q243" s="15">
        <f t="shared" si="85"/>
        <v>0.33556884302330248</v>
      </c>
      <c r="R243" s="16" t="str">
        <f t="shared" si="86"/>
        <v>AOP</v>
      </c>
      <c r="S243" s="17">
        <f t="shared" si="76"/>
        <v>406.20608447970767</v>
      </c>
      <c r="T243" s="18">
        <f t="shared" si="87"/>
        <v>406.20608447970767</v>
      </c>
      <c r="U243" s="23">
        <f t="shared" si="73"/>
        <v>1210.5</v>
      </c>
      <c r="Y243" s="8" t="str">
        <f t="shared" si="88"/>
        <v>AINH68884MPC15</v>
      </c>
      <c r="Z243" s="8" t="str">
        <f>IF(Y243='Input - Bookings'!Q230,"OK","Check")</f>
        <v>Check</v>
      </c>
      <c r="AA243" s="139"/>
      <c r="AB243" s="103"/>
      <c r="AC243" s="103"/>
      <c r="AD243" s="100">
        <f t="shared" si="89"/>
        <v>780.86787914591503</v>
      </c>
      <c r="AE243" s="110"/>
      <c r="AF243" s="8" t="str">
        <f t="array" ref="AF243">_xlfn.XLOOKUP($G243,'AP Plants'!D:D,'AP Plants'!B:B)</f>
        <v>Class 3</v>
      </c>
      <c r="AG243" s="102"/>
      <c r="AH243" s="102">
        <f t="shared" si="83"/>
        <v>780.86787914591503</v>
      </c>
      <c r="AI243" s="44">
        <v>1.4999999999999999E-2</v>
      </c>
      <c r="AJ243" s="15">
        <f>_xlfn.XLOOKUP($AF243,Warranty!B:B,Warranty!E:E)</f>
        <v>1.4999999999999999E-2</v>
      </c>
      <c r="AK243" s="8">
        <f>IF($I243="AUD",VLOOKUP(RIGHT('Wk - Margins'!$G243,3),'AU Freight'!C:G,5,0),0)</f>
        <v>0</v>
      </c>
      <c r="AL243" s="15">
        <f t="shared" si="80"/>
        <v>0</v>
      </c>
      <c r="AM243" s="61">
        <f t="shared" si="82"/>
        <v>804.29391552029233</v>
      </c>
      <c r="AN243" s="63">
        <f t="shared" si="81"/>
        <v>0.33556884302330248</v>
      </c>
      <c r="AQ243" s="147"/>
    </row>
    <row r="244" spans="1:43">
      <c r="A244" s="10" t="str">
        <f>'Input - Bookings'!A244</f>
        <v>10-30</v>
      </c>
      <c r="B244" s="11" t="str">
        <f>'Input - Bookings'!C244</f>
        <v>A</v>
      </c>
      <c r="C244" s="11" t="str">
        <f>'Input - Bookings'!H244</f>
        <v>IN</v>
      </c>
      <c r="D244" s="24" t="str">
        <f>'Input - Bookings'!E244</f>
        <v>067</v>
      </c>
      <c r="E244" s="24" t="str">
        <f>'Input - Bookings'!G244</f>
        <v>ELECTROMECH LIFT TRUCKS</v>
      </c>
      <c r="F244" s="146" t="str">
        <f>'Input - Bookings'!I244</f>
        <v>H68885</v>
      </c>
      <c r="G244" s="24" t="str">
        <f>'Input - Bookings'!L244</f>
        <v>A3D4</v>
      </c>
      <c r="H244" s="24" t="str">
        <f>'Input - Bookings'!M244</f>
        <v>MPC15</v>
      </c>
      <c r="I244" s="24" t="str">
        <f>'Input - Bookings'!B244</f>
        <v>USD</v>
      </c>
      <c r="J244" s="13" t="str">
        <f>IF(I244="USD",INDEX('AP Plants'!A:A,MATCH(G244,'AP Plants'!D:D,0)),INDEX('Australia Plants'!A:A,MATCH(G244,'Australia Plants'!D:D,0)))</f>
        <v>Staxx</v>
      </c>
      <c r="K244" s="73">
        <v>1</v>
      </c>
      <c r="L244" s="97">
        <v>1710</v>
      </c>
      <c r="M244" s="97">
        <v>1210.5</v>
      </c>
      <c r="N244" s="99">
        <v>0.33556884302330248</v>
      </c>
      <c r="O244" s="25">
        <f t="shared" si="84"/>
        <v>0.29210526315789476</v>
      </c>
      <c r="P244" s="14">
        <f>IFERROR(IF(OR(B244&amp;C244="PAU",B244&amp;C244="AIN"),VLOOKUP(B244&amp;C244&amp;G244,#REF!,8,0),VLOOKUP(B244&amp;G244,#REF!,8,0)),0)</f>
        <v>0</v>
      </c>
      <c r="Q244" s="15">
        <f t="shared" si="85"/>
        <v>0.33556884302330248</v>
      </c>
      <c r="R244" s="16" t="str">
        <f t="shared" si="86"/>
        <v>AOP</v>
      </c>
      <c r="S244" s="17">
        <f t="shared" si="76"/>
        <v>406.20608447970767</v>
      </c>
      <c r="T244" s="18">
        <f t="shared" si="87"/>
        <v>406.20608447970767</v>
      </c>
      <c r="U244" s="23">
        <f t="shared" si="73"/>
        <v>1210.5</v>
      </c>
      <c r="Y244" s="8" t="str">
        <f t="shared" si="88"/>
        <v>AINH68885MPC15</v>
      </c>
      <c r="Z244" s="8" t="str">
        <f>IF(Y244='Input - Bookings'!Q227,"OK","Check")</f>
        <v>Check</v>
      </c>
      <c r="AA244" s="139"/>
      <c r="AB244" s="103"/>
      <c r="AC244" s="103"/>
      <c r="AD244" s="100">
        <f t="shared" si="89"/>
        <v>780.86787914591503</v>
      </c>
      <c r="AE244" s="100"/>
      <c r="AF244" s="8" t="str">
        <f t="array" ref="AF244">_xlfn.XLOOKUP($G244,'AP Plants'!D:D,'AP Plants'!B:B)</f>
        <v>Class 3</v>
      </c>
      <c r="AG244" s="102"/>
      <c r="AH244" s="102">
        <f t="shared" si="83"/>
        <v>780.86787914591503</v>
      </c>
      <c r="AI244" s="44">
        <v>1.4999999999999999E-2</v>
      </c>
      <c r="AJ244" s="15">
        <f>_xlfn.XLOOKUP($AF244,Warranty!B:B,Warranty!E:E)</f>
        <v>1.4999999999999999E-2</v>
      </c>
      <c r="AK244" s="8">
        <f>IF($I244="AUD",VLOOKUP(RIGHT('Wk - Margins'!$G244,3),'AU Freight'!C:G,5,0),0)</f>
        <v>0</v>
      </c>
      <c r="AL244" s="15">
        <f t="shared" si="80"/>
        <v>0</v>
      </c>
      <c r="AM244" s="61">
        <f t="shared" si="82"/>
        <v>804.29391552029233</v>
      </c>
      <c r="AN244" s="63">
        <f t="shared" si="81"/>
        <v>0.33556884302330248</v>
      </c>
      <c r="AQ244" s="147"/>
    </row>
    <row r="245" spans="1:43">
      <c r="A245" s="10" t="str">
        <f>'Input - Bookings'!A245</f>
        <v>10-30</v>
      </c>
      <c r="B245" s="11" t="str">
        <f>'Input - Bookings'!C245</f>
        <v>A</v>
      </c>
      <c r="C245" s="11" t="str">
        <f>'Input - Bookings'!H245</f>
        <v>IN</v>
      </c>
      <c r="D245" s="24" t="str">
        <f>'Input - Bookings'!E245</f>
        <v>067</v>
      </c>
      <c r="E245" s="24" t="str">
        <f>'Input - Bookings'!G245</f>
        <v>ELECTROMECH LIFT TRUCKS</v>
      </c>
      <c r="F245" s="146" t="str">
        <f>'Input - Bookings'!I245</f>
        <v>H68886</v>
      </c>
      <c r="G245" s="24" t="str">
        <f>'Input - Bookings'!L245</f>
        <v>A3D4</v>
      </c>
      <c r="H245" s="24" t="str">
        <f>'Input - Bookings'!M245</f>
        <v>MPC15</v>
      </c>
      <c r="I245" s="24" t="str">
        <f>'Input - Bookings'!B245</f>
        <v>USD</v>
      </c>
      <c r="J245" s="13" t="str">
        <f>IF(I245="USD",INDEX('AP Plants'!A:A,MATCH(G245,'AP Plants'!D:D,0)),INDEX('Australia Plants'!A:A,MATCH(G245,'Australia Plants'!D:D,0)))</f>
        <v>Staxx</v>
      </c>
      <c r="K245" s="73">
        <v>1</v>
      </c>
      <c r="L245" s="97">
        <v>1710</v>
      </c>
      <c r="M245" s="97">
        <v>1210.5</v>
      </c>
      <c r="N245" s="99">
        <v>0.33556884302330248</v>
      </c>
      <c r="O245" s="25">
        <f t="shared" si="84"/>
        <v>0.29210526315789476</v>
      </c>
      <c r="P245" s="14">
        <f>IFERROR(IF(OR(B245&amp;C245="PAU",B245&amp;C245="AIN"),VLOOKUP(B245&amp;C245&amp;G245,#REF!,8,0),VLOOKUP(B245&amp;G245,#REF!,8,0)),0)</f>
        <v>0</v>
      </c>
      <c r="Q245" s="15">
        <f t="shared" si="85"/>
        <v>0.33556884302330248</v>
      </c>
      <c r="R245" s="16" t="str">
        <f t="shared" si="86"/>
        <v>AOP</v>
      </c>
      <c r="S245" s="17">
        <f t="shared" si="76"/>
        <v>406.20608447970767</v>
      </c>
      <c r="T245" s="18">
        <f t="shared" si="87"/>
        <v>406.20608447970767</v>
      </c>
      <c r="U245" s="23">
        <f t="shared" si="73"/>
        <v>1210.5</v>
      </c>
      <c r="Y245" s="8" t="str">
        <f t="shared" si="88"/>
        <v>AINH68886MPC15</v>
      </c>
      <c r="Z245" s="8" t="str">
        <f>IF(Y245='Input - Bookings'!Q228,"OK","Check")</f>
        <v>Check</v>
      </c>
      <c r="AA245" s="118"/>
      <c r="AB245" s="103"/>
      <c r="AC245" s="103"/>
      <c r="AD245" s="100">
        <f t="shared" si="89"/>
        <v>780.86787914591503</v>
      </c>
      <c r="AE245" s="100"/>
      <c r="AF245" s="8" t="str">
        <f t="array" ref="AF245">_xlfn.XLOOKUP($G245,'AP Plants'!D:D,'AP Plants'!B:B)</f>
        <v>Class 3</v>
      </c>
      <c r="AG245" s="102"/>
      <c r="AH245" s="102">
        <f t="shared" si="83"/>
        <v>780.86787914591503</v>
      </c>
      <c r="AI245" s="44">
        <v>1.4999999999999999E-2</v>
      </c>
      <c r="AJ245" s="15">
        <f>_xlfn.XLOOKUP($AF245,Warranty!B:B,Warranty!E:E)</f>
        <v>1.4999999999999999E-2</v>
      </c>
      <c r="AK245" s="8">
        <f>IF($I245="AUD",VLOOKUP(RIGHT('Wk - Margins'!$G245,3),'AU Freight'!C:G,5,0),0)</f>
        <v>0</v>
      </c>
      <c r="AL245" s="15">
        <f t="shared" si="80"/>
        <v>0</v>
      </c>
      <c r="AM245" s="61">
        <f t="shared" si="82"/>
        <v>804.29391552029233</v>
      </c>
      <c r="AN245" s="63">
        <f t="shared" si="81"/>
        <v>0.33556884302330248</v>
      </c>
      <c r="AQ245" s="147"/>
    </row>
    <row r="246" spans="1:43">
      <c r="A246" s="10" t="str">
        <f>'Input - Bookings'!A246</f>
        <v>10-30</v>
      </c>
      <c r="B246" s="11" t="str">
        <f>'Input - Bookings'!C246</f>
        <v>A</v>
      </c>
      <c r="C246" s="11" t="str">
        <f>'Input - Bookings'!H246</f>
        <v>IN</v>
      </c>
      <c r="D246" s="24" t="str">
        <f>'Input - Bookings'!E246</f>
        <v>067</v>
      </c>
      <c r="E246" s="24" t="str">
        <f>'Input - Bookings'!G246</f>
        <v>ELECTROMECH LIFT TRUCKS</v>
      </c>
      <c r="F246" s="146" t="str">
        <f>'Input - Bookings'!I246</f>
        <v>H68887</v>
      </c>
      <c r="G246" s="24" t="str">
        <f>'Input - Bookings'!L246</f>
        <v>A3D4</v>
      </c>
      <c r="H246" s="24" t="str">
        <f>'Input - Bookings'!M246</f>
        <v>MPC15</v>
      </c>
      <c r="I246" s="24" t="str">
        <f>'Input - Bookings'!B246</f>
        <v>USD</v>
      </c>
      <c r="J246" s="13" t="str">
        <f>IF(I246="USD",INDEX('AP Plants'!A:A,MATCH(G246,'AP Plants'!D:D,0)),INDEX('Australia Plants'!A:A,MATCH(G246,'Australia Plants'!D:D,0)))</f>
        <v>Staxx</v>
      </c>
      <c r="K246" s="73">
        <v>1</v>
      </c>
      <c r="L246" s="97">
        <v>1710</v>
      </c>
      <c r="M246" s="97">
        <v>1210.5</v>
      </c>
      <c r="N246" s="99">
        <v>0.33556884302330248</v>
      </c>
      <c r="O246" s="25">
        <f t="shared" si="84"/>
        <v>0.29210526315789476</v>
      </c>
      <c r="P246" s="14">
        <f>IFERROR(IF(OR(B246&amp;C246="PAU",B246&amp;C246="AIN"),VLOOKUP(B246&amp;C246&amp;G246,#REF!,8,0),VLOOKUP(B246&amp;G246,#REF!,8,0)),0)</f>
        <v>0</v>
      </c>
      <c r="Q246" s="15">
        <f t="shared" si="85"/>
        <v>0.33556884302330248</v>
      </c>
      <c r="R246" s="16" t="str">
        <f t="shared" si="86"/>
        <v>AOP</v>
      </c>
      <c r="S246" s="17">
        <f t="shared" si="76"/>
        <v>406.20608447970767</v>
      </c>
      <c r="T246" s="18">
        <f t="shared" si="87"/>
        <v>406.20608447970767</v>
      </c>
      <c r="U246" s="23">
        <f t="shared" si="73"/>
        <v>1210.5</v>
      </c>
      <c r="Y246" s="8" t="str">
        <f t="shared" si="88"/>
        <v>AINH68887MPC15</v>
      </c>
      <c r="Z246" s="8" t="str">
        <f>IF(Y246='Input - Bookings'!Q229,"OK","Check")</f>
        <v>Check</v>
      </c>
      <c r="AA246" s="139"/>
      <c r="AB246" s="103"/>
      <c r="AC246" s="103"/>
      <c r="AD246" s="100">
        <f t="shared" si="89"/>
        <v>780.86787914591503</v>
      </c>
      <c r="AE246" s="100"/>
      <c r="AF246" s="8" t="str">
        <f t="array" ref="AF246">_xlfn.XLOOKUP($G246,'AP Plants'!D:D,'AP Plants'!B:B)</f>
        <v>Class 3</v>
      </c>
      <c r="AG246" s="102"/>
      <c r="AH246" s="102">
        <f t="shared" si="83"/>
        <v>780.86787914591503</v>
      </c>
      <c r="AI246" s="44">
        <v>1.4999999999999999E-2</v>
      </c>
      <c r="AJ246" s="15">
        <f>_xlfn.XLOOKUP($AF246,Warranty!B:B,Warranty!E:E)</f>
        <v>1.4999999999999999E-2</v>
      </c>
      <c r="AK246" s="8">
        <f>IF($I246="AUD",VLOOKUP(RIGHT('Wk - Margins'!$G246,3),'AU Freight'!C:G,5,0),0)</f>
        <v>0</v>
      </c>
      <c r="AL246" s="15">
        <f t="shared" si="80"/>
        <v>0</v>
      </c>
      <c r="AM246" s="61">
        <f t="shared" si="82"/>
        <v>804.29391552029233</v>
      </c>
      <c r="AN246" s="63">
        <f t="shared" si="81"/>
        <v>0.33556884302330248</v>
      </c>
      <c r="AQ246" s="147"/>
    </row>
    <row r="247" spans="1:43">
      <c r="A247" s="10" t="str">
        <f>'Input - Bookings'!A247</f>
        <v>10-30</v>
      </c>
      <c r="B247" s="11" t="str">
        <f>'Input - Bookings'!C247</f>
        <v>A</v>
      </c>
      <c r="C247" s="11" t="str">
        <f>'Input - Bookings'!H247</f>
        <v>IN</v>
      </c>
      <c r="D247" s="24" t="str">
        <f>'Input - Bookings'!E247</f>
        <v>067</v>
      </c>
      <c r="E247" s="24" t="str">
        <f>'Input - Bookings'!G247</f>
        <v>ELECTROMECH LIFT TRUCKS</v>
      </c>
      <c r="F247" s="146" t="str">
        <f>'Input - Bookings'!I247</f>
        <v>H68888</v>
      </c>
      <c r="G247" s="24" t="str">
        <f>'Input - Bookings'!L247</f>
        <v>A3D4</v>
      </c>
      <c r="H247" s="24" t="str">
        <f>'Input - Bookings'!M247</f>
        <v>MPC15</v>
      </c>
      <c r="I247" s="24" t="str">
        <f>'Input - Bookings'!B247</f>
        <v>USD</v>
      </c>
      <c r="J247" s="13" t="str">
        <f>IF(I247="USD",INDEX('AP Plants'!A:A,MATCH(G247,'AP Plants'!D:D,0)),INDEX('Australia Plants'!A:A,MATCH(G247,'Australia Plants'!D:D,0)))</f>
        <v>Staxx</v>
      </c>
      <c r="K247" s="73">
        <v>1</v>
      </c>
      <c r="L247" s="97">
        <v>1710</v>
      </c>
      <c r="M247" s="97">
        <v>1210.5</v>
      </c>
      <c r="N247" s="99">
        <v>0.33556884302330248</v>
      </c>
      <c r="O247" s="25">
        <f t="shared" si="84"/>
        <v>0.29210526315789476</v>
      </c>
      <c r="P247" s="14">
        <f>IFERROR(IF(OR(B247&amp;C247="PAU",B247&amp;C247="AIN"),VLOOKUP(B247&amp;C247&amp;G247,#REF!,8,0),VLOOKUP(B247&amp;G247,#REF!,8,0)),0)</f>
        <v>0</v>
      </c>
      <c r="Q247" s="15">
        <f t="shared" si="85"/>
        <v>0.33556884302330248</v>
      </c>
      <c r="R247" s="16" t="str">
        <f t="shared" si="86"/>
        <v>AOP</v>
      </c>
      <c r="S247" s="17">
        <f t="shared" si="76"/>
        <v>406.20608447970767</v>
      </c>
      <c r="T247" s="18">
        <f t="shared" si="87"/>
        <v>406.20608447970767</v>
      </c>
      <c r="U247" s="23">
        <f t="shared" si="73"/>
        <v>1210.5</v>
      </c>
      <c r="Y247" s="8" t="str">
        <f t="shared" si="88"/>
        <v>AINH68888MPC15</v>
      </c>
      <c r="Z247" s="8" t="str">
        <f>IF(Y247='Input - Bookings'!Q230,"OK","Check")</f>
        <v>Check</v>
      </c>
      <c r="AA247" s="139"/>
      <c r="AB247" s="103"/>
      <c r="AC247" s="103"/>
      <c r="AD247" s="100">
        <f t="shared" si="89"/>
        <v>780.86787914591503</v>
      </c>
      <c r="AE247" s="100"/>
      <c r="AF247" s="8" t="str">
        <f t="array" ref="AF247">_xlfn.XLOOKUP($G247,'AP Plants'!D:D,'AP Plants'!B:B)</f>
        <v>Class 3</v>
      </c>
      <c r="AG247" s="102"/>
      <c r="AH247" s="102">
        <f t="shared" si="83"/>
        <v>780.86787914591503</v>
      </c>
      <c r="AI247" s="44">
        <v>1.4999999999999999E-2</v>
      </c>
      <c r="AJ247" s="15">
        <f>_xlfn.XLOOKUP($AF247,Warranty!B:B,Warranty!E:E)</f>
        <v>1.4999999999999999E-2</v>
      </c>
      <c r="AK247" s="8">
        <f>IF($I247="AUD",VLOOKUP(RIGHT('Wk - Margins'!$G247,3),'AU Freight'!C:G,5,0),0)</f>
        <v>0</v>
      </c>
      <c r="AL247" s="15">
        <f t="shared" si="80"/>
        <v>0</v>
      </c>
      <c r="AM247" s="61">
        <f t="shared" si="82"/>
        <v>804.29391552029233</v>
      </c>
      <c r="AN247" s="63">
        <f t="shared" si="81"/>
        <v>0.33556884302330248</v>
      </c>
      <c r="AQ247" s="147"/>
    </row>
    <row r="248" spans="1:43">
      <c r="A248" s="10" t="str">
        <f>'Input - Bookings'!A248</f>
        <v>10-30</v>
      </c>
      <c r="B248" s="11" t="str">
        <f>'Input - Bookings'!C248</f>
        <v>A</v>
      </c>
      <c r="C248" s="11" t="str">
        <f>'Input - Bookings'!H248</f>
        <v>IN</v>
      </c>
      <c r="D248" s="24" t="str">
        <f>'Input - Bookings'!E248</f>
        <v>067</v>
      </c>
      <c r="E248" s="24" t="str">
        <f>'Input - Bookings'!G248</f>
        <v>ELECTROMECH LIFT TRUCKS</v>
      </c>
      <c r="F248" s="146" t="str">
        <f>'Input - Bookings'!I248</f>
        <v>H68879</v>
      </c>
      <c r="G248" s="24" t="str">
        <f>'Input - Bookings'!L248</f>
        <v>A3D4</v>
      </c>
      <c r="H248" s="24" t="str">
        <f>'Input - Bookings'!M248</f>
        <v>MPC15</v>
      </c>
      <c r="I248" s="24" t="str">
        <f>'Input - Bookings'!B248</f>
        <v>USD</v>
      </c>
      <c r="J248" s="13" t="str">
        <f>IF(I248="USD",INDEX('AP Plants'!A:A,MATCH(G248,'AP Plants'!D:D,0)),INDEX('Australia Plants'!A:A,MATCH(G248,'Australia Plants'!D:D,0)))</f>
        <v>Staxx</v>
      </c>
      <c r="K248" s="73">
        <v>1</v>
      </c>
      <c r="L248" s="97">
        <v>1710</v>
      </c>
      <c r="M248" s="97">
        <v>1210.5</v>
      </c>
      <c r="N248" s="99">
        <v>0.33556884302330248</v>
      </c>
      <c r="O248" s="25">
        <f t="shared" si="84"/>
        <v>0.29210526315789476</v>
      </c>
      <c r="P248" s="14">
        <f>IFERROR(IF(OR(B248&amp;C248="PAU",B248&amp;C248="AIN"),VLOOKUP(B248&amp;C248&amp;G248,#REF!,8,0),VLOOKUP(B248&amp;G248,#REF!,8,0)),0)</f>
        <v>0</v>
      </c>
      <c r="Q248" s="15">
        <f t="shared" si="85"/>
        <v>0.33556884302330248</v>
      </c>
      <c r="R248" s="16" t="str">
        <f t="shared" si="86"/>
        <v>AOP</v>
      </c>
      <c r="S248" s="17">
        <f t="shared" si="76"/>
        <v>406.20608447970767</v>
      </c>
      <c r="T248" s="18">
        <f t="shared" si="87"/>
        <v>406.20608447970767</v>
      </c>
      <c r="U248" s="23">
        <f t="shared" si="73"/>
        <v>1210.5</v>
      </c>
      <c r="Y248" s="8" t="str">
        <f t="shared" si="88"/>
        <v>AINH68879MPC15</v>
      </c>
      <c r="Z248" s="8" t="str">
        <f>IF(Y248='Input - Bookings'!Q231,"OK","Check")</f>
        <v>Check</v>
      </c>
      <c r="AA248" s="118"/>
      <c r="AB248" s="103"/>
      <c r="AC248" s="103"/>
      <c r="AD248" s="100">
        <f t="shared" si="89"/>
        <v>780.86787914591503</v>
      </c>
      <c r="AE248" s="100"/>
      <c r="AF248" s="8" t="str">
        <f t="array" ref="AF248">_xlfn.XLOOKUP($G248,'AP Plants'!D:D,'AP Plants'!B:B)</f>
        <v>Class 3</v>
      </c>
      <c r="AG248" s="102"/>
      <c r="AH248" s="102">
        <f t="shared" si="83"/>
        <v>780.86787914591503</v>
      </c>
      <c r="AI248" s="44">
        <v>1.4999999999999999E-2</v>
      </c>
      <c r="AJ248" s="15">
        <f>_xlfn.XLOOKUP($AF248,Warranty!B:B,Warranty!E:E)</f>
        <v>1.4999999999999999E-2</v>
      </c>
      <c r="AK248" s="8">
        <f>IF($I248="AUD",VLOOKUP(RIGHT('Wk - Margins'!$G248,3),'AU Freight'!C:G,5,0),0)</f>
        <v>0</v>
      </c>
      <c r="AL248" s="15">
        <f t="shared" ref="AL248:AL279" si="90">IF(AND($I248="AUD",$AF248="Class 5 BT"),5%,0%)</f>
        <v>0</v>
      </c>
      <c r="AM248" s="61">
        <f t="shared" ref="AM248:AM264" si="91">SUM(AG248:AH248)*(1+AI248+AJ248+AL248)+AK248</f>
        <v>804.29391552029233</v>
      </c>
      <c r="AN248" s="63">
        <f t="shared" ref="AN248:AN290" si="92">1-AM248/M248</f>
        <v>0.33556884302330248</v>
      </c>
      <c r="AQ248" s="147"/>
    </row>
    <row r="249" spans="1:43">
      <c r="A249" s="10" t="str">
        <f>'Input - Bookings'!A249</f>
        <v>10-30</v>
      </c>
      <c r="B249" s="11" t="str">
        <f>'Input - Bookings'!C249</f>
        <v>A</v>
      </c>
      <c r="C249" s="11" t="str">
        <f>'Input - Bookings'!H249</f>
        <v>IN</v>
      </c>
      <c r="D249" s="24" t="str">
        <f>'Input - Bookings'!E249</f>
        <v>067</v>
      </c>
      <c r="E249" s="24" t="str">
        <f>'Input - Bookings'!G249</f>
        <v>ELECTROMECH LIFT TRUCKS</v>
      </c>
      <c r="F249" s="146" t="str">
        <f>'Input - Bookings'!I249</f>
        <v>H68889</v>
      </c>
      <c r="G249" s="24" t="str">
        <f>'Input - Bookings'!L249</f>
        <v>A3D4</v>
      </c>
      <c r="H249" s="24" t="str">
        <f>'Input - Bookings'!M249</f>
        <v>MPC15</v>
      </c>
      <c r="I249" s="24" t="str">
        <f>'Input - Bookings'!B249</f>
        <v>USD</v>
      </c>
      <c r="J249" s="13" t="str">
        <f>IF(I249="USD",INDEX('AP Plants'!A:A,MATCH(G249,'AP Plants'!D:D,0)),INDEX('Australia Plants'!A:A,MATCH(G249,'Australia Plants'!D:D,0)))</f>
        <v>Staxx</v>
      </c>
      <c r="K249" s="73">
        <v>1</v>
      </c>
      <c r="L249" s="97">
        <v>1710</v>
      </c>
      <c r="M249" s="97">
        <v>1210.5</v>
      </c>
      <c r="N249" s="99">
        <v>0.33556884302330248</v>
      </c>
      <c r="O249" s="25">
        <f t="shared" si="84"/>
        <v>0.29210526315789476</v>
      </c>
      <c r="P249" s="14">
        <f>IFERROR(IF(OR(B249&amp;C249="PAU",B249&amp;C249="AIN"),VLOOKUP(B249&amp;C249&amp;G249,#REF!,8,0),VLOOKUP(B249&amp;G249,#REF!,8,0)),0)</f>
        <v>0</v>
      </c>
      <c r="Q249" s="15">
        <f t="shared" si="85"/>
        <v>0.33556884302330248</v>
      </c>
      <c r="R249" s="16" t="str">
        <f t="shared" si="86"/>
        <v>AOP</v>
      </c>
      <c r="S249" s="17">
        <f t="shared" si="76"/>
        <v>406.20608447970767</v>
      </c>
      <c r="T249" s="18">
        <f t="shared" si="87"/>
        <v>406.20608447970767</v>
      </c>
      <c r="U249" s="23">
        <f t="shared" si="73"/>
        <v>1210.5</v>
      </c>
      <c r="Y249" s="8" t="str">
        <f t="shared" si="88"/>
        <v>AINH68889MPC15</v>
      </c>
      <c r="Z249" s="8" t="str">
        <f>IF(Y249='Input - Bookings'!Q232,"OK","Check")</f>
        <v>Check</v>
      </c>
      <c r="AA249" s="139"/>
      <c r="AB249" s="103"/>
      <c r="AC249" s="103"/>
      <c r="AD249" s="100">
        <f t="shared" si="89"/>
        <v>780.86787914591503</v>
      </c>
      <c r="AE249" s="100"/>
      <c r="AF249" s="8" t="str">
        <f t="array" ref="AF249">_xlfn.XLOOKUP($G249,'AP Plants'!D:D,'AP Plants'!B:B)</f>
        <v>Class 3</v>
      </c>
      <c r="AG249" s="102"/>
      <c r="AH249" s="102">
        <f t="shared" si="83"/>
        <v>780.86787914591503</v>
      </c>
      <c r="AI249" s="44">
        <v>1.4999999999999999E-2</v>
      </c>
      <c r="AJ249" s="15">
        <f>_xlfn.XLOOKUP($AF249,Warranty!B:B,Warranty!E:E)</f>
        <v>1.4999999999999999E-2</v>
      </c>
      <c r="AK249" s="8">
        <f>IF($I249="AUD",VLOOKUP(RIGHT('Wk - Margins'!$G249,3),'AU Freight'!C:G,5,0),0)</f>
        <v>0</v>
      </c>
      <c r="AL249" s="15">
        <f t="shared" si="90"/>
        <v>0</v>
      </c>
      <c r="AM249" s="61">
        <f t="shared" si="91"/>
        <v>804.29391552029233</v>
      </c>
      <c r="AN249" s="63">
        <f t="shared" si="92"/>
        <v>0.33556884302330248</v>
      </c>
      <c r="AQ249" s="147"/>
    </row>
    <row r="250" spans="1:43">
      <c r="A250" s="10" t="str">
        <f>'Input - Bookings'!A250</f>
        <v>10-30</v>
      </c>
      <c r="B250" s="11" t="str">
        <f>'Input - Bookings'!C250</f>
        <v>A</v>
      </c>
      <c r="C250" s="11" t="str">
        <f>'Input - Bookings'!H250</f>
        <v>IN</v>
      </c>
      <c r="D250" s="24" t="str">
        <f>'Input - Bookings'!E250</f>
        <v>067</v>
      </c>
      <c r="E250" s="24" t="str">
        <f>'Input - Bookings'!G250</f>
        <v>ELECTROMECH LIFT TRUCKS</v>
      </c>
      <c r="F250" s="146" t="str">
        <f>'Input - Bookings'!I250</f>
        <v>H68890</v>
      </c>
      <c r="G250" s="24" t="str">
        <f>'Input - Bookings'!L250</f>
        <v>A3D4</v>
      </c>
      <c r="H250" s="24" t="str">
        <f>'Input - Bookings'!M250</f>
        <v>MPC15</v>
      </c>
      <c r="I250" s="24" t="str">
        <f>'Input - Bookings'!B250</f>
        <v>USD</v>
      </c>
      <c r="J250" s="13" t="str">
        <f>IF(I250="USD",INDEX('AP Plants'!A:A,MATCH(G250,'AP Plants'!D:D,0)),INDEX('Australia Plants'!A:A,MATCH(G250,'Australia Plants'!D:D,0)))</f>
        <v>Staxx</v>
      </c>
      <c r="K250" s="73">
        <v>1</v>
      </c>
      <c r="L250" s="97">
        <v>1710</v>
      </c>
      <c r="M250" s="97">
        <v>1210.5</v>
      </c>
      <c r="N250" s="99">
        <v>0.33556884302330248</v>
      </c>
      <c r="O250" s="25">
        <f t="shared" si="84"/>
        <v>0.29210526315789476</v>
      </c>
      <c r="P250" s="14">
        <f>IFERROR(IF(OR(B250&amp;C250="PAU",B250&amp;C250="AIN"),VLOOKUP(B250&amp;C250&amp;G250,#REF!,8,0),VLOOKUP(B250&amp;G250,#REF!,8,0)),0)</f>
        <v>0</v>
      </c>
      <c r="Q250" s="15">
        <f t="shared" si="85"/>
        <v>0.33556884302330248</v>
      </c>
      <c r="R250" s="16" t="str">
        <f t="shared" si="86"/>
        <v>AOP</v>
      </c>
      <c r="S250" s="17">
        <f t="shared" si="76"/>
        <v>406.20608447970767</v>
      </c>
      <c r="T250" s="18">
        <f t="shared" si="87"/>
        <v>406.20608447970767</v>
      </c>
      <c r="U250" s="23">
        <f t="shared" si="73"/>
        <v>1210.5</v>
      </c>
      <c r="Y250" s="8" t="str">
        <f t="shared" si="88"/>
        <v>AINH68890MPC15</v>
      </c>
      <c r="Z250" s="8" t="str">
        <f>IF(Y250='Input - Bookings'!Q243,"OK","Check")</f>
        <v>Check</v>
      </c>
      <c r="AA250" s="139"/>
      <c r="AB250" s="103"/>
      <c r="AC250" s="103"/>
      <c r="AD250" s="100">
        <f t="shared" si="89"/>
        <v>780.86787914591503</v>
      </c>
      <c r="AE250" s="100"/>
      <c r="AF250" s="8" t="str">
        <f t="array" ref="AF250">_xlfn.XLOOKUP($G250,'AP Plants'!D:D,'AP Plants'!B:B)</f>
        <v>Class 3</v>
      </c>
      <c r="AG250" s="102"/>
      <c r="AH250" s="102">
        <f t="shared" si="83"/>
        <v>780.86787914591503</v>
      </c>
      <c r="AI250" s="44">
        <v>1.4999999999999999E-2</v>
      </c>
      <c r="AJ250" s="15">
        <f>_xlfn.XLOOKUP($AF250,Warranty!B:B,Warranty!E:E)</f>
        <v>1.4999999999999999E-2</v>
      </c>
      <c r="AK250" s="8">
        <f>IF($I250="AUD",VLOOKUP(RIGHT('Wk - Margins'!$G250,3),'AU Freight'!C:G,5,0),0)</f>
        <v>0</v>
      </c>
      <c r="AL250" s="15">
        <f t="shared" si="90"/>
        <v>0</v>
      </c>
      <c r="AM250" s="61">
        <f t="shared" si="91"/>
        <v>804.29391552029233</v>
      </c>
      <c r="AN250" s="63">
        <f t="shared" si="92"/>
        <v>0.33556884302330248</v>
      </c>
      <c r="AQ250" s="147"/>
    </row>
    <row r="251" spans="1:43">
      <c r="A251" s="10" t="str">
        <f>'Input - Bookings'!A251</f>
        <v>10-30</v>
      </c>
      <c r="B251" s="11" t="str">
        <f>'Input - Bookings'!C251</f>
        <v>A</v>
      </c>
      <c r="C251" s="11" t="str">
        <f>'Input - Bookings'!H251</f>
        <v>IN</v>
      </c>
      <c r="D251" s="24" t="str">
        <f>'Input - Bookings'!E251</f>
        <v>067</v>
      </c>
      <c r="E251" s="24" t="str">
        <f>'Input - Bookings'!G251</f>
        <v>ELECTROMECH LIFT TRUCKS</v>
      </c>
      <c r="F251" s="146" t="str">
        <f>'Input - Bookings'!I251</f>
        <v>H68891</v>
      </c>
      <c r="G251" s="24" t="str">
        <f>'Input - Bookings'!L251</f>
        <v>A3D4</v>
      </c>
      <c r="H251" s="24" t="str">
        <f>'Input - Bookings'!M251</f>
        <v>MPC15</v>
      </c>
      <c r="I251" s="24" t="str">
        <f>'Input - Bookings'!B251</f>
        <v>USD</v>
      </c>
      <c r="J251" s="13" t="str">
        <f>IF(I251="USD",INDEX('AP Plants'!A:A,MATCH(G251,'AP Plants'!D:D,0)),INDEX('Australia Plants'!A:A,MATCH(G251,'Australia Plants'!D:D,0)))</f>
        <v>Staxx</v>
      </c>
      <c r="K251" s="73">
        <v>1</v>
      </c>
      <c r="L251" s="97">
        <v>1710</v>
      </c>
      <c r="M251" s="97">
        <v>1210.5</v>
      </c>
      <c r="N251" s="99">
        <v>0.33556884302330248</v>
      </c>
      <c r="O251" s="25">
        <f t="shared" si="84"/>
        <v>0.29210526315789476</v>
      </c>
      <c r="P251" s="14">
        <f>IFERROR(IF(OR(B251&amp;C251="PAU",B251&amp;C251="AIN"),VLOOKUP(B251&amp;C251&amp;G251,#REF!,8,0),VLOOKUP(B251&amp;G251,#REF!,8,0)),0)</f>
        <v>0</v>
      </c>
      <c r="Q251" s="15">
        <f t="shared" si="85"/>
        <v>0.33556884302330248</v>
      </c>
      <c r="R251" s="16" t="str">
        <f t="shared" si="86"/>
        <v>AOP</v>
      </c>
      <c r="S251" s="17">
        <f t="shared" si="76"/>
        <v>406.20608447970767</v>
      </c>
      <c r="T251" s="18">
        <f t="shared" si="87"/>
        <v>406.20608447970767</v>
      </c>
      <c r="U251" s="23">
        <f t="shared" si="73"/>
        <v>1210.5</v>
      </c>
      <c r="Y251" s="8" t="str">
        <f t="shared" si="88"/>
        <v>AINH68891MPC15</v>
      </c>
      <c r="Z251" s="8" t="str">
        <f>IF(Y251='Input - Bookings'!Q244,"OK","Check")</f>
        <v>Check</v>
      </c>
      <c r="AA251" s="139"/>
      <c r="AB251" s="103"/>
      <c r="AC251" s="103"/>
      <c r="AD251" s="100">
        <f t="shared" si="89"/>
        <v>780.86787914591503</v>
      </c>
      <c r="AE251" s="100"/>
      <c r="AF251" s="8" t="str">
        <f t="array" ref="AF251">_xlfn.XLOOKUP($G251,'AP Plants'!D:D,'AP Plants'!B:B)</f>
        <v>Class 3</v>
      </c>
      <c r="AG251" s="102"/>
      <c r="AH251" s="102">
        <f t="shared" si="83"/>
        <v>780.86787914591503</v>
      </c>
      <c r="AI251" s="44">
        <v>1.4999999999999999E-2</v>
      </c>
      <c r="AJ251" s="15">
        <f>_xlfn.XLOOKUP($AF251,Warranty!B:B,Warranty!E:E)</f>
        <v>1.4999999999999999E-2</v>
      </c>
      <c r="AK251" s="8">
        <f>IF($I251="AUD",VLOOKUP(RIGHT('Wk - Margins'!$G251,3),'AU Freight'!C:G,5,0),0)</f>
        <v>0</v>
      </c>
      <c r="AL251" s="15">
        <f t="shared" si="90"/>
        <v>0</v>
      </c>
      <c r="AM251" s="61">
        <f t="shared" si="91"/>
        <v>804.29391552029233</v>
      </c>
      <c r="AN251" s="63">
        <f t="shared" si="92"/>
        <v>0.33556884302330248</v>
      </c>
      <c r="AQ251" s="147"/>
    </row>
    <row r="252" spans="1:43">
      <c r="A252" s="10" t="str">
        <f>'Input - Bookings'!A252</f>
        <v>10-30</v>
      </c>
      <c r="B252" s="11" t="str">
        <f>'Input - Bookings'!C252</f>
        <v>A</v>
      </c>
      <c r="C252" s="11" t="str">
        <f>'Input - Bookings'!H252</f>
        <v>IN</v>
      </c>
      <c r="D252" s="24" t="str">
        <f>'Input - Bookings'!E252</f>
        <v>067</v>
      </c>
      <c r="E252" s="24" t="str">
        <f>'Input - Bookings'!G252</f>
        <v>ELECTROMECH LIFT TRUCKS</v>
      </c>
      <c r="F252" s="146" t="str">
        <f>'Input - Bookings'!I252</f>
        <v>H68892</v>
      </c>
      <c r="G252" s="24" t="str">
        <f>'Input - Bookings'!L252</f>
        <v>A3D4</v>
      </c>
      <c r="H252" s="24" t="str">
        <f>'Input - Bookings'!M252</f>
        <v>MPC15</v>
      </c>
      <c r="I252" s="24" t="str">
        <f>'Input - Bookings'!B252</f>
        <v>USD</v>
      </c>
      <c r="J252" s="13" t="str">
        <f>IF(I252="USD",INDEX('AP Plants'!A:A,MATCH(G252,'AP Plants'!D:D,0)),INDEX('Australia Plants'!A:A,MATCH(G252,'Australia Plants'!D:D,0)))</f>
        <v>Staxx</v>
      </c>
      <c r="K252" s="73">
        <v>1</v>
      </c>
      <c r="L252" s="97">
        <v>1710</v>
      </c>
      <c r="M252" s="97">
        <v>1210.5</v>
      </c>
      <c r="N252" s="99">
        <v>0.33556884302330248</v>
      </c>
      <c r="O252" s="25">
        <f t="shared" si="74"/>
        <v>0.29210526315789476</v>
      </c>
      <c r="P252" s="14">
        <f>IFERROR(IF(OR(B252&amp;C252="PAU",B252&amp;C252="AIN"),VLOOKUP(B252&amp;C252&amp;G252,#REF!,8,0),VLOOKUP(B252&amp;G252,#REF!,8,0)),0)</f>
        <v>0</v>
      </c>
      <c r="Q252" s="15">
        <f t="shared" ref="Q252:Q307" si="93">N252-P252</f>
        <v>0.33556884302330248</v>
      </c>
      <c r="R252" s="16" t="str">
        <f t="shared" si="75"/>
        <v>AOP</v>
      </c>
      <c r="S252" s="17">
        <f t="shared" si="76"/>
        <v>406.20608447970767</v>
      </c>
      <c r="T252" s="18">
        <f t="shared" si="77"/>
        <v>406.20608447970767</v>
      </c>
      <c r="U252" s="23">
        <f t="shared" si="73"/>
        <v>1210.5</v>
      </c>
      <c r="Y252" s="8" t="str">
        <f t="shared" si="78"/>
        <v>AINH68892MPC15</v>
      </c>
      <c r="Z252" s="8" t="str">
        <f>IF(Y252='Input - Bookings'!Q245,"OK","Check")</f>
        <v>Check</v>
      </c>
      <c r="AA252" s="139"/>
      <c r="AB252" s="103"/>
      <c r="AC252" s="103"/>
      <c r="AD252" s="100">
        <f t="shared" si="89"/>
        <v>780.86787914591503</v>
      </c>
      <c r="AE252" s="100"/>
      <c r="AF252" s="8" t="str">
        <f t="array" ref="AF252">_xlfn.XLOOKUP($G252,'AP Plants'!D:D,'AP Plants'!B:B)</f>
        <v>Class 3</v>
      </c>
      <c r="AG252" s="102"/>
      <c r="AH252" s="102">
        <f t="shared" si="83"/>
        <v>780.86787914591503</v>
      </c>
      <c r="AI252" s="44">
        <v>1.4999999999999999E-2</v>
      </c>
      <c r="AJ252" s="15">
        <f>_xlfn.XLOOKUP($AF252,Warranty!B:B,Warranty!E:E)</f>
        <v>1.4999999999999999E-2</v>
      </c>
      <c r="AK252" s="8">
        <f>IF($I252="AUD",VLOOKUP(RIGHT('Wk - Margins'!$G252,3),'AU Freight'!C:G,5,0),0)</f>
        <v>0</v>
      </c>
      <c r="AL252" s="15">
        <f t="shared" si="90"/>
        <v>0</v>
      </c>
      <c r="AM252" s="61">
        <f t="shared" si="91"/>
        <v>804.29391552029233</v>
      </c>
      <c r="AN252" s="63">
        <f t="shared" si="92"/>
        <v>0.33556884302330248</v>
      </c>
      <c r="AQ252" s="147"/>
    </row>
    <row r="253" spans="1:43">
      <c r="A253" s="10" t="str">
        <f>'Input - Bookings'!A253</f>
        <v>10-30</v>
      </c>
      <c r="B253" s="11" t="str">
        <f>'Input - Bookings'!C253</f>
        <v>A</v>
      </c>
      <c r="C253" s="11" t="str">
        <f>'Input - Bookings'!H253</f>
        <v>IN</v>
      </c>
      <c r="D253" s="24" t="str">
        <f>'Input - Bookings'!E253</f>
        <v>067</v>
      </c>
      <c r="E253" s="24" t="str">
        <f>'Input - Bookings'!G253</f>
        <v>ELECTROMECH LIFT TRUCKS</v>
      </c>
      <c r="F253" s="146" t="str">
        <f>'Input - Bookings'!I253</f>
        <v>H68893</v>
      </c>
      <c r="G253" s="24" t="str">
        <f>'Input - Bookings'!L253</f>
        <v>A3D4</v>
      </c>
      <c r="H253" s="24" t="str">
        <f>'Input - Bookings'!M253</f>
        <v>MPC15</v>
      </c>
      <c r="I253" s="24" t="str">
        <f>'Input - Bookings'!B253</f>
        <v>USD</v>
      </c>
      <c r="J253" s="13" t="str">
        <f>IF(I253="USD",INDEX('AP Plants'!A:A,MATCH(G253,'AP Plants'!D:D,0)),INDEX('Australia Plants'!A:A,MATCH(G253,'Australia Plants'!D:D,0)))</f>
        <v>Staxx</v>
      </c>
      <c r="K253" s="73">
        <v>1</v>
      </c>
      <c r="L253" s="97">
        <v>1710</v>
      </c>
      <c r="M253" s="97">
        <v>1210.5</v>
      </c>
      <c r="N253" s="99">
        <v>0.33556884302330248</v>
      </c>
      <c r="O253" s="25">
        <f t="shared" si="74"/>
        <v>0.29210526315789476</v>
      </c>
      <c r="P253" s="14">
        <f>IFERROR(IF(OR(B253&amp;C253="PAU",B253&amp;C253="AIN"),VLOOKUP(B253&amp;C253&amp;G253,#REF!,8,0),VLOOKUP(B253&amp;G253,#REF!,8,0)),0)</f>
        <v>0</v>
      </c>
      <c r="Q253" s="15">
        <f t="shared" si="93"/>
        <v>0.33556884302330248</v>
      </c>
      <c r="R253" s="16" t="str">
        <f t="shared" si="75"/>
        <v>AOP</v>
      </c>
      <c r="S253" s="17">
        <f t="shared" si="76"/>
        <v>406.20608447970767</v>
      </c>
      <c r="T253" s="18">
        <f t="shared" si="77"/>
        <v>406.20608447970767</v>
      </c>
      <c r="U253" s="23">
        <f t="shared" si="73"/>
        <v>1210.5</v>
      </c>
      <c r="Y253" s="8" t="str">
        <f t="shared" si="78"/>
        <v>AINH68893MPC15</v>
      </c>
      <c r="Z253" s="8" t="str">
        <f>IF(Y253='Input - Bookings'!Q246,"OK","Check")</f>
        <v>Check</v>
      </c>
      <c r="AA253" s="139"/>
      <c r="AB253" s="103"/>
      <c r="AC253" s="103"/>
      <c r="AD253" s="100">
        <f t="shared" si="89"/>
        <v>780.86787914591503</v>
      </c>
      <c r="AE253" s="100"/>
      <c r="AF253" s="8" t="str">
        <f t="array" ref="AF253">_xlfn.XLOOKUP($G253,'AP Plants'!D:D,'AP Plants'!B:B)</f>
        <v>Class 3</v>
      </c>
      <c r="AG253" s="102"/>
      <c r="AH253" s="102">
        <f t="shared" si="83"/>
        <v>780.86787914591503</v>
      </c>
      <c r="AI253" s="44">
        <v>1.4999999999999999E-2</v>
      </c>
      <c r="AJ253" s="15">
        <f>_xlfn.XLOOKUP($AF253,Warranty!B:B,Warranty!E:E)</f>
        <v>1.4999999999999999E-2</v>
      </c>
      <c r="AK253" s="8">
        <f>IF($I253="AUD",VLOOKUP(RIGHT('Wk - Margins'!$G253,3),'AU Freight'!C:G,5,0),0)</f>
        <v>0</v>
      </c>
      <c r="AL253" s="15">
        <f t="shared" si="90"/>
        <v>0</v>
      </c>
      <c r="AM253" s="61">
        <f t="shared" si="91"/>
        <v>804.29391552029233</v>
      </c>
      <c r="AN253" s="63">
        <f t="shared" si="92"/>
        <v>0.33556884302330248</v>
      </c>
      <c r="AQ253" s="147"/>
    </row>
    <row r="254" spans="1:43">
      <c r="A254" s="10" t="str">
        <f>'Input - Bookings'!A254</f>
        <v>10-30</v>
      </c>
      <c r="B254" s="11" t="str">
        <f>'Input - Bookings'!C254</f>
        <v>A</v>
      </c>
      <c r="C254" s="11" t="str">
        <f>'Input - Bookings'!H254</f>
        <v>IN</v>
      </c>
      <c r="D254" s="24" t="str">
        <f>'Input - Bookings'!E254</f>
        <v>067</v>
      </c>
      <c r="E254" s="24" t="str">
        <f>'Input - Bookings'!G254</f>
        <v>ELECTROMECH LIFT TRUCKS</v>
      </c>
      <c r="F254" s="146" t="str">
        <f>'Input - Bookings'!I254</f>
        <v>H68894</v>
      </c>
      <c r="G254" s="24" t="str">
        <f>'Input - Bookings'!L254</f>
        <v>A3D4</v>
      </c>
      <c r="H254" s="24" t="str">
        <f>'Input - Bookings'!M254</f>
        <v>MPC15</v>
      </c>
      <c r="I254" s="24" t="str">
        <f>'Input - Bookings'!B254</f>
        <v>USD</v>
      </c>
      <c r="J254" s="13" t="str">
        <f>IF(I254="USD",INDEX('AP Plants'!A:A,MATCH(G254,'AP Plants'!D:D,0)),INDEX('Australia Plants'!A:A,MATCH(G254,'Australia Plants'!D:D,0)))</f>
        <v>Staxx</v>
      </c>
      <c r="K254" s="73">
        <v>1</v>
      </c>
      <c r="L254" s="97">
        <v>1710</v>
      </c>
      <c r="M254" s="97">
        <v>1210.5</v>
      </c>
      <c r="N254" s="99">
        <v>0.33556884302330248</v>
      </c>
      <c r="O254" s="25">
        <f t="shared" si="74"/>
        <v>0.29210526315789476</v>
      </c>
      <c r="P254" s="14">
        <f>IFERROR(IF(OR(B254&amp;C254="PAU",B254&amp;C254="AIN"),VLOOKUP(B254&amp;C254&amp;G254,#REF!,8,0),VLOOKUP(B254&amp;G254,#REF!,8,0)),0)</f>
        <v>0</v>
      </c>
      <c r="Q254" s="15">
        <f t="shared" si="93"/>
        <v>0.33556884302330248</v>
      </c>
      <c r="R254" s="16" t="str">
        <f t="shared" si="75"/>
        <v>AOP</v>
      </c>
      <c r="S254" s="17">
        <f t="shared" si="76"/>
        <v>406.20608447970767</v>
      </c>
      <c r="T254" s="18">
        <f t="shared" si="77"/>
        <v>406.20608447970767</v>
      </c>
      <c r="U254" s="23">
        <f t="shared" si="73"/>
        <v>1210.5</v>
      </c>
      <c r="Y254" s="8" t="str">
        <f t="shared" si="78"/>
        <v>AINH68894MPC15</v>
      </c>
      <c r="Z254" s="8" t="str">
        <f>IF(Y254='Input - Bookings'!Q247,"OK","Check")</f>
        <v>Check</v>
      </c>
      <c r="AA254" s="139"/>
      <c r="AB254" s="103"/>
      <c r="AC254" s="103"/>
      <c r="AD254" s="100">
        <f t="shared" si="89"/>
        <v>780.86787914591503</v>
      </c>
      <c r="AE254" s="100"/>
      <c r="AF254" s="8" t="str">
        <f t="array" ref="AF254">_xlfn.XLOOKUP($G254,'AP Plants'!D:D,'AP Plants'!B:B)</f>
        <v>Class 3</v>
      </c>
      <c r="AG254" s="102"/>
      <c r="AH254" s="102">
        <f t="shared" si="83"/>
        <v>780.86787914591503</v>
      </c>
      <c r="AI254" s="44">
        <v>1.4999999999999999E-2</v>
      </c>
      <c r="AJ254" s="15">
        <f>_xlfn.XLOOKUP($AF254,Warranty!B:B,Warranty!E:E)</f>
        <v>1.4999999999999999E-2</v>
      </c>
      <c r="AK254" s="8">
        <f>IF($I254="AUD",VLOOKUP(RIGHT('Wk - Margins'!$G254,3),'AU Freight'!C:G,5,0),0)</f>
        <v>0</v>
      </c>
      <c r="AL254" s="15">
        <f t="shared" si="90"/>
        <v>0</v>
      </c>
      <c r="AM254" s="61">
        <f t="shared" si="91"/>
        <v>804.29391552029233</v>
      </c>
      <c r="AN254" s="63">
        <f t="shared" si="92"/>
        <v>0.33556884302330248</v>
      </c>
      <c r="AQ254" s="147"/>
    </row>
    <row r="255" spans="1:43">
      <c r="A255" s="10" t="str">
        <f>'Input - Bookings'!A255</f>
        <v>10-30</v>
      </c>
      <c r="B255" s="11" t="str">
        <f>'Input - Bookings'!C255</f>
        <v>A</v>
      </c>
      <c r="C255" s="11" t="str">
        <f>'Input - Bookings'!H255</f>
        <v>IN</v>
      </c>
      <c r="D255" s="24" t="str">
        <f>'Input - Bookings'!E255</f>
        <v>067</v>
      </c>
      <c r="E255" s="24" t="str">
        <f>'Input - Bookings'!G255</f>
        <v>ELECTROMECH LIFT TRUCKS</v>
      </c>
      <c r="F255" s="146" t="str">
        <f>'Input - Bookings'!I255</f>
        <v>H68895</v>
      </c>
      <c r="G255" s="24" t="str">
        <f>'Input - Bookings'!L255</f>
        <v>A3D4</v>
      </c>
      <c r="H255" s="24" t="str">
        <f>'Input - Bookings'!M255</f>
        <v>MPC15</v>
      </c>
      <c r="I255" s="24" t="str">
        <f>'Input - Bookings'!B255</f>
        <v>USD</v>
      </c>
      <c r="J255" s="13" t="str">
        <f>IF(I255="USD",INDEX('AP Plants'!A:A,MATCH(G255,'AP Plants'!D:D,0)),INDEX('Australia Plants'!A:A,MATCH(G255,'Australia Plants'!D:D,0)))</f>
        <v>Staxx</v>
      </c>
      <c r="K255" s="73">
        <v>1</v>
      </c>
      <c r="L255" s="97">
        <v>1710</v>
      </c>
      <c r="M255" s="97">
        <v>1210.5</v>
      </c>
      <c r="N255" s="99">
        <v>0.33556884302330248</v>
      </c>
      <c r="O255" s="25">
        <f t="shared" si="74"/>
        <v>0.29210526315789476</v>
      </c>
      <c r="P255" s="14">
        <f>IFERROR(IF(OR(B255&amp;C255="PAU",B255&amp;C255="AIN"),VLOOKUP(B255&amp;C255&amp;G255,#REF!,8,0),VLOOKUP(B255&amp;G255,#REF!,8,0)),0)</f>
        <v>0</v>
      </c>
      <c r="Q255" s="15">
        <f t="shared" si="93"/>
        <v>0.33556884302330248</v>
      </c>
      <c r="R255" s="16" t="str">
        <f t="shared" si="75"/>
        <v>AOP</v>
      </c>
      <c r="S255" s="17">
        <f t="shared" si="76"/>
        <v>406.20608447970767</v>
      </c>
      <c r="T255" s="18">
        <f t="shared" si="77"/>
        <v>406.20608447970767</v>
      </c>
      <c r="U255" s="23">
        <f t="shared" si="73"/>
        <v>1210.5</v>
      </c>
      <c r="Y255" s="8" t="str">
        <f t="shared" si="78"/>
        <v>AINH68895MPC15</v>
      </c>
      <c r="Z255" s="8" t="str">
        <f>IF(Y255='Input - Bookings'!Q248,"OK","Check")</f>
        <v>Check</v>
      </c>
      <c r="AA255" s="139"/>
      <c r="AB255" s="103"/>
      <c r="AC255" s="103"/>
      <c r="AD255" s="100">
        <f t="shared" si="89"/>
        <v>780.86787914591503</v>
      </c>
      <c r="AE255" s="100"/>
      <c r="AF255" s="8" t="str">
        <f t="array" ref="AF255">_xlfn.XLOOKUP($G255,'AP Plants'!D:D,'AP Plants'!B:B)</f>
        <v>Class 3</v>
      </c>
      <c r="AG255" s="102"/>
      <c r="AH255" s="102">
        <f t="shared" si="83"/>
        <v>780.86787914591503</v>
      </c>
      <c r="AI255" s="44">
        <v>1.4999999999999999E-2</v>
      </c>
      <c r="AJ255" s="15">
        <f>_xlfn.XLOOKUP($AF255,Warranty!B:B,Warranty!E:E)</f>
        <v>1.4999999999999999E-2</v>
      </c>
      <c r="AK255" s="8">
        <f>IF($I255="AUD",VLOOKUP(RIGHT('Wk - Margins'!$G255,3),'AU Freight'!C:G,5,0),0)</f>
        <v>0</v>
      </c>
      <c r="AL255" s="15">
        <f t="shared" si="90"/>
        <v>0</v>
      </c>
      <c r="AM255" s="61">
        <f t="shared" si="91"/>
        <v>804.29391552029233</v>
      </c>
      <c r="AN255" s="63">
        <f t="shared" si="92"/>
        <v>0.33556884302330248</v>
      </c>
      <c r="AQ255" s="147"/>
    </row>
    <row r="256" spans="1:43">
      <c r="A256" s="10" t="str">
        <f>'Input - Bookings'!A256</f>
        <v>10-30</v>
      </c>
      <c r="B256" s="11" t="str">
        <f>'Input - Bookings'!C256</f>
        <v>A</v>
      </c>
      <c r="C256" s="11" t="str">
        <f>'Input - Bookings'!H256</f>
        <v>IN</v>
      </c>
      <c r="D256" s="24" t="str">
        <f>'Input - Bookings'!E256</f>
        <v>067</v>
      </c>
      <c r="E256" s="24" t="str">
        <f>'Input - Bookings'!G256</f>
        <v>ELECTROMECH LIFT TRUCKS</v>
      </c>
      <c r="F256" s="146" t="str">
        <f>'Input - Bookings'!I256</f>
        <v>H68896</v>
      </c>
      <c r="G256" s="24" t="str">
        <f>'Input - Bookings'!L256</f>
        <v>A3D4</v>
      </c>
      <c r="H256" s="24" t="str">
        <f>'Input - Bookings'!M256</f>
        <v>MPC15</v>
      </c>
      <c r="I256" s="24" t="str">
        <f>'Input - Bookings'!B256</f>
        <v>USD</v>
      </c>
      <c r="J256" s="13" t="str">
        <f>IF(I256="USD",INDEX('AP Plants'!A:A,MATCH(G256,'AP Plants'!D:D,0)),INDEX('Australia Plants'!A:A,MATCH(G256,'Australia Plants'!D:D,0)))</f>
        <v>Staxx</v>
      </c>
      <c r="K256" s="73">
        <v>1</v>
      </c>
      <c r="L256" s="97">
        <v>1710</v>
      </c>
      <c r="M256" s="97">
        <v>1210.5</v>
      </c>
      <c r="N256" s="99">
        <v>0.33556884302330248</v>
      </c>
      <c r="O256" s="25">
        <f t="shared" si="74"/>
        <v>0.29210526315789476</v>
      </c>
      <c r="P256" s="14">
        <f>IFERROR(IF(OR(B256&amp;C256="PAU",B256&amp;C256="AIN"),VLOOKUP(B256&amp;C256&amp;G256,#REF!,8,0),VLOOKUP(B256&amp;G256,#REF!,8,0)),0)</f>
        <v>0</v>
      </c>
      <c r="Q256" s="15">
        <f t="shared" si="93"/>
        <v>0.33556884302330248</v>
      </c>
      <c r="R256" s="16" t="str">
        <f t="shared" si="75"/>
        <v>AOP</v>
      </c>
      <c r="S256" s="17">
        <f t="shared" si="76"/>
        <v>406.20608447970767</v>
      </c>
      <c r="T256" s="18">
        <f t="shared" si="77"/>
        <v>406.20608447970767</v>
      </c>
      <c r="U256" s="23">
        <f t="shared" si="73"/>
        <v>1210.5</v>
      </c>
      <c r="Y256" s="8" t="str">
        <f t="shared" si="78"/>
        <v>AINH68896MPC15</v>
      </c>
      <c r="Z256" s="8" t="str">
        <f>IF(Y256='Input - Bookings'!Q249,"OK","Check")</f>
        <v>Check</v>
      </c>
      <c r="AA256" s="139"/>
      <c r="AB256" s="103"/>
      <c r="AC256" s="103"/>
      <c r="AD256" s="100">
        <f t="shared" si="89"/>
        <v>780.86787914591503</v>
      </c>
      <c r="AE256" s="98"/>
      <c r="AF256" s="8" t="str">
        <f t="array" ref="AF256">_xlfn.XLOOKUP($G256,'AP Plants'!D:D,'AP Plants'!B:B)</f>
        <v>Class 3</v>
      </c>
      <c r="AG256" s="102"/>
      <c r="AH256" s="102">
        <f t="shared" si="83"/>
        <v>780.86787914591503</v>
      </c>
      <c r="AI256" s="44">
        <v>1.4999999999999999E-2</v>
      </c>
      <c r="AJ256" s="15">
        <f>_xlfn.XLOOKUP($AF256,Warranty!B:B,Warranty!E:E)</f>
        <v>1.4999999999999999E-2</v>
      </c>
      <c r="AK256" s="8">
        <f>IF($I256="AUD",VLOOKUP(RIGHT('Wk - Margins'!$G256,3),'AU Freight'!C:G,5,0),0)</f>
        <v>0</v>
      </c>
      <c r="AL256" s="15">
        <f t="shared" si="90"/>
        <v>0</v>
      </c>
      <c r="AM256" s="61">
        <f t="shared" si="91"/>
        <v>804.29391552029233</v>
      </c>
      <c r="AN256" s="63">
        <f t="shared" si="92"/>
        <v>0.33556884302330248</v>
      </c>
      <c r="AQ256" s="147"/>
    </row>
    <row r="257" spans="1:43">
      <c r="A257" s="10" t="str">
        <f>'Input - Bookings'!A257</f>
        <v>10-30</v>
      </c>
      <c r="B257" s="11" t="str">
        <f>'Input - Bookings'!C257</f>
        <v>A</v>
      </c>
      <c r="C257" s="11" t="str">
        <f>'Input - Bookings'!H257</f>
        <v>IN</v>
      </c>
      <c r="D257" s="24" t="str">
        <f>'Input - Bookings'!E257</f>
        <v>067</v>
      </c>
      <c r="E257" s="24" t="str">
        <f>'Input - Bookings'!G257</f>
        <v>ELECTROMECH LIFT TRUCKS</v>
      </c>
      <c r="F257" s="146" t="str">
        <f>'Input - Bookings'!I257</f>
        <v>H68897</v>
      </c>
      <c r="G257" s="24" t="str">
        <f>'Input - Bookings'!L257</f>
        <v>A3D4</v>
      </c>
      <c r="H257" s="24" t="str">
        <f>'Input - Bookings'!M257</f>
        <v>MPC15</v>
      </c>
      <c r="I257" s="24" t="str">
        <f>'Input - Bookings'!B257</f>
        <v>USD</v>
      </c>
      <c r="J257" s="13" t="str">
        <f>IF(I257="USD",INDEX('AP Plants'!A:A,MATCH(G257,'AP Plants'!D:D,0)),INDEX('Australia Plants'!A:A,MATCH(G257,'Australia Plants'!D:D,0)))</f>
        <v>Staxx</v>
      </c>
      <c r="K257" s="73">
        <v>1</v>
      </c>
      <c r="L257" s="97">
        <v>1710</v>
      </c>
      <c r="M257" s="97">
        <v>1210.5</v>
      </c>
      <c r="N257" s="99">
        <v>0.33556884302330248</v>
      </c>
      <c r="O257" s="25">
        <f t="shared" si="74"/>
        <v>0.29210526315789476</v>
      </c>
      <c r="P257" s="14">
        <f>IFERROR(IF(OR(B257&amp;C257="PAU",B257&amp;C257="AIN"),VLOOKUP(B257&amp;C257&amp;G257,#REF!,8,0),VLOOKUP(B257&amp;G257,#REF!,8,0)),0)</f>
        <v>0</v>
      </c>
      <c r="Q257" s="15">
        <f t="shared" si="93"/>
        <v>0.33556884302330248</v>
      </c>
      <c r="R257" s="16" t="str">
        <f t="shared" si="75"/>
        <v>AOP</v>
      </c>
      <c r="S257" s="17">
        <f t="shared" si="76"/>
        <v>406.20608447970767</v>
      </c>
      <c r="T257" s="18">
        <f t="shared" si="77"/>
        <v>406.20608447970767</v>
      </c>
      <c r="U257" s="23">
        <f t="shared" si="73"/>
        <v>1210.5</v>
      </c>
      <c r="Y257" s="8" t="str">
        <f t="shared" si="78"/>
        <v>AINH68897MPC15</v>
      </c>
      <c r="Z257" s="8" t="str">
        <f>IF(Y257='Input - Bookings'!Q250,"OK","Check")</f>
        <v>Check</v>
      </c>
      <c r="AA257" s="139"/>
      <c r="AB257" s="103"/>
      <c r="AC257" s="103"/>
      <c r="AD257" s="100">
        <f t="shared" si="89"/>
        <v>780.86787914591503</v>
      </c>
      <c r="AE257" s="100"/>
      <c r="AF257" s="8" t="str">
        <f t="array" ref="AF257">_xlfn.XLOOKUP($G257,'AP Plants'!D:D,'AP Plants'!B:B)</f>
        <v>Class 3</v>
      </c>
      <c r="AG257" s="102"/>
      <c r="AH257" s="102">
        <f t="shared" si="83"/>
        <v>780.86787914591503</v>
      </c>
      <c r="AI257" s="44">
        <v>1.4999999999999999E-2</v>
      </c>
      <c r="AJ257" s="15">
        <f>_xlfn.XLOOKUP($AF257,Warranty!B:B,Warranty!E:E)</f>
        <v>1.4999999999999999E-2</v>
      </c>
      <c r="AK257" s="8">
        <f>IF($I257="AUD",VLOOKUP(RIGHT('Wk - Margins'!$G257,3),'AU Freight'!C:G,5,0),0)</f>
        <v>0</v>
      </c>
      <c r="AL257" s="15">
        <f t="shared" si="90"/>
        <v>0</v>
      </c>
      <c r="AM257" s="61">
        <f t="shared" si="91"/>
        <v>804.29391552029233</v>
      </c>
      <c r="AN257" s="63">
        <f t="shared" si="92"/>
        <v>0.33556884302330248</v>
      </c>
      <c r="AQ257" s="147"/>
    </row>
    <row r="258" spans="1:43">
      <c r="A258" s="10" t="str">
        <f>'Input - Bookings'!A258</f>
        <v>10-30</v>
      </c>
      <c r="B258" s="11" t="str">
        <f>'Input - Bookings'!C258</f>
        <v>A</v>
      </c>
      <c r="C258" s="11" t="str">
        <f>'Input - Bookings'!H258</f>
        <v>IN</v>
      </c>
      <c r="D258" s="24" t="str">
        <f>'Input - Bookings'!E258</f>
        <v>067</v>
      </c>
      <c r="E258" s="24" t="str">
        <f>'Input - Bookings'!G258</f>
        <v>ELECTROMECH LIFT TRUCKS</v>
      </c>
      <c r="F258" s="24" t="str">
        <f>'Input - Bookings'!I258</f>
        <v>H69249</v>
      </c>
      <c r="G258" s="24" t="str">
        <f>'Input - Bookings'!L258</f>
        <v>E861</v>
      </c>
      <c r="H258" s="24" t="str">
        <f>'Input - Bookings'!M258</f>
        <v>NDR035EC</v>
      </c>
      <c r="I258" s="24" t="str">
        <f>'Input - Bookings'!B258</f>
        <v>USD</v>
      </c>
      <c r="J258" s="13" t="str">
        <f>IF(I258="USD",INDEX('AP Plants'!A:A,MATCH(G258,'AP Plants'!D:D,0)),INDEX('Australia Plants'!A:A,MATCH(G258,'Australia Plants'!D:D,0)))</f>
        <v>Greenville</v>
      </c>
      <c r="K258" s="73">
        <v>1</v>
      </c>
      <c r="L258" s="97">
        <v>65244</v>
      </c>
      <c r="M258" s="97">
        <v>48722.8</v>
      </c>
      <c r="N258" s="99">
        <v>8.8075224432709431E-2</v>
      </c>
      <c r="O258" s="25">
        <f t="shared" si="74"/>
        <v>0.25322175219177234</v>
      </c>
      <c r="P258" s="14">
        <f>IFERROR(IF(OR(B258&amp;C258="PAU",B258&amp;C258="AIN"),VLOOKUP(B258&amp;C258&amp;G258,#REF!,8,0),VLOOKUP(B258&amp;G258,#REF!,8,0)),0)</f>
        <v>0</v>
      </c>
      <c r="Q258" s="15">
        <f t="shared" si="93"/>
        <v>8.8075224432709431E-2</v>
      </c>
      <c r="R258" s="16" t="str">
        <f t="shared" si="75"/>
        <v>AOP</v>
      </c>
      <c r="S258" s="17">
        <f t="shared" si="76"/>
        <v>4291.2715449900152</v>
      </c>
      <c r="T258" s="18">
        <f t="shared" si="77"/>
        <v>4291.2715449900152</v>
      </c>
      <c r="U258" s="23">
        <f t="shared" si="73"/>
        <v>48722.8</v>
      </c>
      <c r="Y258" s="8" t="str">
        <f t="shared" si="78"/>
        <v>AINH69249NDR035EC</v>
      </c>
      <c r="Z258" s="8" t="str">
        <f>IF(Y258='Input - Bookings'!Q251,"OK","Check")</f>
        <v>Check</v>
      </c>
      <c r="AA258" s="139"/>
      <c r="AB258" s="103">
        <v>0</v>
      </c>
      <c r="AC258" s="103">
        <v>0</v>
      </c>
      <c r="AD258" s="100">
        <v>43137.406266999998</v>
      </c>
      <c r="AE258" s="110"/>
      <c r="AF258" s="8" t="str">
        <f t="array" ref="AF258">_xlfn.XLOOKUP($G258,'AP Plants'!D:D,'AP Plants'!B:B)</f>
        <v>Class 2</v>
      </c>
      <c r="AG258" s="102"/>
      <c r="AH258" s="102">
        <f t="shared" ref="AH258:AH259" si="94">AD258</f>
        <v>43137.406266999998</v>
      </c>
      <c r="AI258" s="44">
        <v>1.4999999999999999E-2</v>
      </c>
      <c r="AJ258" s="15">
        <f>_xlfn.XLOOKUP($AF258,Warranty!B:B,Warranty!E:E)</f>
        <v>1.4999999999999999E-2</v>
      </c>
      <c r="AK258" s="8">
        <f>IF($I258="AUD",VLOOKUP(RIGHT('Wk - Margins'!$G258,3),'AU Freight'!C:G,5,0),0)</f>
        <v>0</v>
      </c>
      <c r="AL258" s="15">
        <f t="shared" si="90"/>
        <v>0</v>
      </c>
      <c r="AM258" s="61">
        <f t="shared" si="91"/>
        <v>44431.52845500999</v>
      </c>
      <c r="AN258" s="63">
        <f t="shared" si="92"/>
        <v>8.8075224432709431E-2</v>
      </c>
      <c r="AQ258" s="147"/>
    </row>
    <row r="259" spans="1:43">
      <c r="A259" s="10" t="str">
        <f>'Input - Bookings'!A259</f>
        <v>10-30</v>
      </c>
      <c r="B259" s="11" t="str">
        <f>'Input - Bookings'!C259</f>
        <v>A</v>
      </c>
      <c r="C259" s="11" t="str">
        <f>'Input - Bookings'!H259</f>
        <v>IN</v>
      </c>
      <c r="D259" s="24" t="str">
        <f>'Input - Bookings'!E259</f>
        <v>067</v>
      </c>
      <c r="E259" s="24" t="str">
        <f>'Input - Bookings'!G259</f>
        <v>ELECTROMECH LIFT TRUCKS</v>
      </c>
      <c r="F259" s="24" t="str">
        <f>'Input - Bookings'!I259</f>
        <v>H69252</v>
      </c>
      <c r="G259" s="24" t="str">
        <f>'Input - Bookings'!L259</f>
        <v>E861</v>
      </c>
      <c r="H259" s="24" t="str">
        <f>'Input - Bookings'!M259</f>
        <v>NDR035EC</v>
      </c>
      <c r="I259" s="24" t="str">
        <f>'Input - Bookings'!B259</f>
        <v>USD</v>
      </c>
      <c r="J259" s="13" t="str">
        <f>IF(I259="USD",INDEX('AP Plants'!A:A,MATCH(G259,'AP Plants'!D:D,0)),INDEX('Australia Plants'!A:A,MATCH(G259,'Australia Plants'!D:D,0)))</f>
        <v>Greenville</v>
      </c>
      <c r="K259" s="73">
        <v>1</v>
      </c>
      <c r="L259" s="97">
        <v>65244</v>
      </c>
      <c r="M259" s="97">
        <v>48722.8</v>
      </c>
      <c r="N259" s="99">
        <v>8.8075224432709431E-2</v>
      </c>
      <c r="O259" s="25">
        <f t="shared" si="74"/>
        <v>0.25322175219177234</v>
      </c>
      <c r="P259" s="14">
        <f>IFERROR(IF(OR(B259&amp;C259="PAU",B259&amp;C259="AIN"),VLOOKUP(B259&amp;C259&amp;G259,#REF!,8,0),VLOOKUP(B259&amp;G259,#REF!,8,0)),0)</f>
        <v>0</v>
      </c>
      <c r="Q259" s="15">
        <f t="shared" si="93"/>
        <v>8.8075224432709431E-2</v>
      </c>
      <c r="R259" s="16" t="str">
        <f t="shared" si="75"/>
        <v>AOP</v>
      </c>
      <c r="S259" s="17">
        <f t="shared" si="76"/>
        <v>4291.2715449900152</v>
      </c>
      <c r="T259" s="18">
        <f t="shared" si="77"/>
        <v>4291.2715449900152</v>
      </c>
      <c r="U259" s="23">
        <f t="shared" ref="U259:U322" si="95">IF(I259="USD",M259,M259/$X$6)</f>
        <v>48722.8</v>
      </c>
      <c r="Y259" s="8" t="str">
        <f t="shared" si="78"/>
        <v>AINH69252NDR035EC</v>
      </c>
      <c r="Z259" s="8" t="str">
        <f>IF(Y259='Input - Bookings'!Q252,"OK","Check")</f>
        <v>Check</v>
      </c>
      <c r="AA259" s="139"/>
      <c r="AB259" s="103">
        <v>0</v>
      </c>
      <c r="AC259" s="103">
        <v>0</v>
      </c>
      <c r="AD259" s="100">
        <v>43137.406266999998</v>
      </c>
      <c r="AE259" s="100"/>
      <c r="AF259" s="8" t="str">
        <f t="array" ref="AF259">_xlfn.XLOOKUP($G259,'AP Plants'!D:D,'AP Plants'!B:B)</f>
        <v>Class 2</v>
      </c>
      <c r="AG259" s="102"/>
      <c r="AH259" s="102">
        <f t="shared" si="94"/>
        <v>43137.406266999998</v>
      </c>
      <c r="AI259" s="44">
        <v>1.4999999999999999E-2</v>
      </c>
      <c r="AJ259" s="15">
        <f>_xlfn.XLOOKUP($AF259,Warranty!B:B,Warranty!E:E)</f>
        <v>1.4999999999999999E-2</v>
      </c>
      <c r="AK259" s="8">
        <f>IF($I259="AUD",VLOOKUP(RIGHT('Wk - Margins'!$G259,3),'AU Freight'!C:G,5,0),0)</f>
        <v>0</v>
      </c>
      <c r="AL259" s="15">
        <f t="shared" si="90"/>
        <v>0</v>
      </c>
      <c r="AM259" s="61">
        <f t="shared" si="91"/>
        <v>44431.52845500999</v>
      </c>
      <c r="AN259" s="63">
        <f t="shared" si="92"/>
        <v>8.8075224432709431E-2</v>
      </c>
      <c r="AQ259" s="147"/>
    </row>
    <row r="260" spans="1:43">
      <c r="A260" s="10" t="str">
        <f>'Input - Bookings'!A260</f>
        <v>10-30</v>
      </c>
      <c r="B260" s="11" t="str">
        <f>'Input - Bookings'!C260</f>
        <v>A</v>
      </c>
      <c r="C260" s="11" t="str">
        <f>'Input - Bookings'!H260</f>
        <v>MY</v>
      </c>
      <c r="D260" s="24" t="str">
        <f>'Input - Bookings'!E260</f>
        <v>065</v>
      </c>
      <c r="E260" s="24" t="str">
        <f>'Input - Bookings'!G260</f>
        <v>SIME DARBY MATERIAL</v>
      </c>
      <c r="F260" s="24" t="str">
        <f>'Input - Bookings'!I260</f>
        <v>H68959</v>
      </c>
      <c r="G260" s="24" t="str">
        <f>'Input - Bookings'!L260</f>
        <v>A3C1</v>
      </c>
      <c r="H260" s="24" t="str">
        <f>'Input - Bookings'!M260</f>
        <v>H3.0UT</v>
      </c>
      <c r="I260" s="24" t="str">
        <f>'Input - Bookings'!B260</f>
        <v>USD</v>
      </c>
      <c r="J260" s="13" t="str">
        <f>IF(I260="USD",INDEX('AP Plants'!A:A,MATCH(G260,'AP Plants'!D:D,0)),INDEX('Australia Plants'!A:A,MATCH(G260,'Australia Plants'!D:D,0)))</f>
        <v>Maximal</v>
      </c>
      <c r="K260" s="73">
        <v>1</v>
      </c>
      <c r="L260" s="97">
        <v>20845</v>
      </c>
      <c r="M260" s="97">
        <v>12662.15</v>
      </c>
      <c r="N260" s="99">
        <v>0.1568114102771907</v>
      </c>
      <c r="O260" s="25">
        <f t="shared" si="74"/>
        <v>0.39255696809786522</v>
      </c>
      <c r="P260" s="14">
        <f>IFERROR(IF(OR(B260&amp;C260="PAU",B260&amp;C260="AIN"),VLOOKUP(B260&amp;C260&amp;G260,#REF!,8,0),VLOOKUP(B260&amp;G260,#REF!,8,0)),0)</f>
        <v>0</v>
      </c>
      <c r="Q260" s="15">
        <f t="shared" si="93"/>
        <v>0.1568114102771907</v>
      </c>
      <c r="R260" s="16" t="str">
        <f t="shared" si="75"/>
        <v>AOP</v>
      </c>
      <c r="S260" s="17">
        <f t="shared" si="76"/>
        <v>1985.5695986413302</v>
      </c>
      <c r="T260" s="18">
        <f t="shared" si="77"/>
        <v>1985.5695986413302</v>
      </c>
      <c r="U260" s="23">
        <f t="shared" si="95"/>
        <v>12662.15</v>
      </c>
      <c r="Y260" s="8" t="str">
        <f t="shared" si="78"/>
        <v>AMYH68959H3.0UT</v>
      </c>
      <c r="Z260" s="8" t="str">
        <f>IF(Y260='Input - Bookings'!Q253,"OK","Check")</f>
        <v>Check</v>
      </c>
      <c r="AA260" s="139"/>
      <c r="AB260" s="103"/>
      <c r="AC260" s="103"/>
      <c r="AD260" s="100">
        <v>10467.235687606541</v>
      </c>
      <c r="AE260" s="110"/>
      <c r="AF260" s="8" t="str">
        <f t="array" ref="AF260">_xlfn.XLOOKUP($G260,'AP Plants'!D:D,'AP Plants'!B:B)</f>
        <v>Class 5 NOT BT</v>
      </c>
      <c r="AG260" s="102"/>
      <c r="AH260" s="102">
        <f t="shared" ref="AH260:AH265" si="96">AD260</f>
        <v>10467.235687606541</v>
      </c>
      <c r="AI260" s="44">
        <v>1.4999999999999999E-2</v>
      </c>
      <c r="AJ260" s="15">
        <f>_xlfn.XLOOKUP($AF260,Warranty!B:B,Warranty!E:E)</f>
        <v>5.0000000000000001E-3</v>
      </c>
      <c r="AK260" s="8">
        <f>IF($I260="AUD",VLOOKUP(RIGHT('Wk - Margins'!$G260,3),'AU Freight'!C:G,5,0),0)</f>
        <v>0</v>
      </c>
      <c r="AL260" s="15">
        <f t="shared" si="90"/>
        <v>0</v>
      </c>
      <c r="AM260" s="61">
        <f t="shared" si="91"/>
        <v>10676.580401358669</v>
      </c>
      <c r="AN260" s="63">
        <f t="shared" si="92"/>
        <v>0.1568114102771907</v>
      </c>
      <c r="AQ260" s="147"/>
    </row>
    <row r="261" spans="1:43">
      <c r="A261" s="10" t="str">
        <f>'Input - Bookings'!A261</f>
        <v>10-30</v>
      </c>
      <c r="B261" s="11" t="str">
        <f>'Input - Bookings'!C261</f>
        <v>A</v>
      </c>
      <c r="C261" s="11" t="str">
        <f>'Input - Bookings'!H261</f>
        <v>MY</v>
      </c>
      <c r="D261" s="24" t="str">
        <f>'Input - Bookings'!E261</f>
        <v>065</v>
      </c>
      <c r="E261" s="24" t="str">
        <f>'Input - Bookings'!G261</f>
        <v>SIME DARBY MATERIAL</v>
      </c>
      <c r="F261" s="24" t="str">
        <f>'Input - Bookings'!I261</f>
        <v>H68958</v>
      </c>
      <c r="G261" s="24" t="str">
        <f>'Input - Bookings'!L261</f>
        <v>A3C1</v>
      </c>
      <c r="H261" s="24" t="str">
        <f>'Input - Bookings'!M261</f>
        <v>H3.0UT</v>
      </c>
      <c r="I261" s="24" t="str">
        <f>'Input - Bookings'!B261</f>
        <v>USD</v>
      </c>
      <c r="J261" s="13" t="str">
        <f>IF(I261="USD",INDEX('AP Plants'!A:A,MATCH(G261,'AP Plants'!D:D,0)),INDEX('Australia Plants'!A:A,MATCH(G261,'Australia Plants'!D:D,0)))</f>
        <v>Maximal</v>
      </c>
      <c r="K261" s="73">
        <v>1</v>
      </c>
      <c r="L261" s="97">
        <v>20845</v>
      </c>
      <c r="M261" s="97">
        <v>12662.15</v>
      </c>
      <c r="N261" s="99">
        <v>0.1568114102771907</v>
      </c>
      <c r="O261" s="25">
        <f t="shared" si="74"/>
        <v>0.39255696809786522</v>
      </c>
      <c r="P261" s="14">
        <f>IFERROR(IF(OR(B261&amp;C261="PAU",B261&amp;C261="AIN"),VLOOKUP(B261&amp;C261&amp;G261,#REF!,8,0),VLOOKUP(B261&amp;G261,#REF!,8,0)),0)</f>
        <v>0</v>
      </c>
      <c r="Q261" s="15">
        <f t="shared" si="93"/>
        <v>0.1568114102771907</v>
      </c>
      <c r="R261" s="16" t="str">
        <f t="shared" si="75"/>
        <v>AOP</v>
      </c>
      <c r="S261" s="17">
        <f t="shared" si="76"/>
        <v>1985.5695986413302</v>
      </c>
      <c r="T261" s="18">
        <f t="shared" si="77"/>
        <v>1985.5695986413302</v>
      </c>
      <c r="U261" s="23">
        <f t="shared" si="95"/>
        <v>12662.15</v>
      </c>
      <c r="Y261" s="8" t="str">
        <f t="shared" si="78"/>
        <v>AMYH68958H3.0UT</v>
      </c>
      <c r="Z261" s="8" t="str">
        <f>IF(Y261='Input - Bookings'!Q254,"OK","Check")</f>
        <v>Check</v>
      </c>
      <c r="AA261" s="139"/>
      <c r="AB261" s="103"/>
      <c r="AC261" s="103"/>
      <c r="AD261" s="100">
        <v>10467.235687606541</v>
      </c>
      <c r="AE261" s="100"/>
      <c r="AF261" s="8" t="str">
        <f t="array" ref="AF261">_xlfn.XLOOKUP($G261,'AP Plants'!D:D,'AP Plants'!B:B)</f>
        <v>Class 5 NOT BT</v>
      </c>
      <c r="AG261" s="102"/>
      <c r="AH261" s="102">
        <f t="shared" si="96"/>
        <v>10467.235687606541</v>
      </c>
      <c r="AI261" s="44">
        <v>1.4999999999999999E-2</v>
      </c>
      <c r="AJ261" s="15">
        <f>_xlfn.XLOOKUP($AF261,Warranty!B:B,Warranty!E:E)</f>
        <v>5.0000000000000001E-3</v>
      </c>
      <c r="AK261" s="8">
        <f>IF($I261="AUD",VLOOKUP(RIGHT('Wk - Margins'!$G261,3),'AU Freight'!C:G,5,0),0)</f>
        <v>0</v>
      </c>
      <c r="AL261" s="15">
        <f t="shared" si="90"/>
        <v>0</v>
      </c>
      <c r="AM261" s="61">
        <f t="shared" si="91"/>
        <v>10676.580401358669</v>
      </c>
      <c r="AN261" s="63">
        <f t="shared" si="92"/>
        <v>0.1568114102771907</v>
      </c>
      <c r="AQ261" s="147"/>
    </row>
    <row r="262" spans="1:43">
      <c r="A262" s="10" t="str">
        <f>'Input - Bookings'!A262</f>
        <v>10-30</v>
      </c>
      <c r="B262" s="11" t="str">
        <f>'Input - Bookings'!C262</f>
        <v>A</v>
      </c>
      <c r="C262" s="11" t="str">
        <f>'Input - Bookings'!H262</f>
        <v>MY</v>
      </c>
      <c r="D262" s="24" t="str">
        <f>'Input - Bookings'!E262</f>
        <v>065</v>
      </c>
      <c r="E262" s="24" t="str">
        <f>'Input - Bookings'!G262</f>
        <v>SIME DARBY MATERIAL</v>
      </c>
      <c r="F262" s="24" t="str">
        <f>'Input - Bookings'!I262</f>
        <v>H68961</v>
      </c>
      <c r="G262" s="24" t="str">
        <f>'Input - Bookings'!L262</f>
        <v>A3C1</v>
      </c>
      <c r="H262" s="24" t="str">
        <f>'Input - Bookings'!M262</f>
        <v>H3.0UT</v>
      </c>
      <c r="I262" s="24" t="str">
        <f>'Input - Bookings'!B262</f>
        <v>USD</v>
      </c>
      <c r="J262" s="13" t="str">
        <f>IF(I262="USD",INDEX('AP Plants'!A:A,MATCH(G262,'AP Plants'!D:D,0)),INDEX('Australia Plants'!A:A,MATCH(G262,'Australia Plants'!D:D,0)))</f>
        <v>Maximal</v>
      </c>
      <c r="K262" s="73">
        <v>1</v>
      </c>
      <c r="L262" s="97">
        <v>20905</v>
      </c>
      <c r="M262" s="97">
        <v>12708.35</v>
      </c>
      <c r="N262" s="99">
        <v>0.1551969255420359</v>
      </c>
      <c r="O262" s="25">
        <f t="shared" si="74"/>
        <v>0.3920904089930638</v>
      </c>
      <c r="P262" s="14">
        <f>IFERROR(IF(OR(B262&amp;C262="PAU",B262&amp;C262="AIN"),VLOOKUP(B262&amp;C262&amp;G262,#REF!,8,0),VLOOKUP(B262&amp;G262,#REF!,8,0)),0)</f>
        <v>0</v>
      </c>
      <c r="Q262" s="15">
        <f t="shared" si="93"/>
        <v>0.1551969255420359</v>
      </c>
      <c r="R262" s="16" t="str">
        <f t="shared" si="75"/>
        <v>AOP</v>
      </c>
      <c r="S262" s="17">
        <f t="shared" si="76"/>
        <v>1972.296848712132</v>
      </c>
      <c r="T262" s="18">
        <f t="shared" si="77"/>
        <v>1972.296848712132</v>
      </c>
      <c r="U262" s="23">
        <f t="shared" si="95"/>
        <v>12708.35</v>
      </c>
      <c r="Y262" s="8" t="str">
        <f t="shared" si="78"/>
        <v>AMYH68961H3.0UT</v>
      </c>
      <c r="Z262" s="8" t="str">
        <f>IF(Y262='Input - Bookings'!Q255,"OK","Check")</f>
        <v>Check</v>
      </c>
      <c r="AA262" s="139"/>
      <c r="AB262" s="103"/>
      <c r="AC262" s="103"/>
      <c r="AD262" s="100">
        <v>10525.542305184186</v>
      </c>
      <c r="AE262" s="100"/>
      <c r="AF262" s="8" t="str">
        <f t="array" ref="AF262">_xlfn.XLOOKUP($G262,'AP Plants'!D:D,'AP Plants'!B:B)</f>
        <v>Class 5 NOT BT</v>
      </c>
      <c r="AG262" s="102"/>
      <c r="AH262" s="102">
        <f t="shared" si="96"/>
        <v>10525.542305184186</v>
      </c>
      <c r="AI262" s="44">
        <v>1.4999999999999999E-2</v>
      </c>
      <c r="AJ262" s="15">
        <f>_xlfn.XLOOKUP($AF262,Warranty!B:B,Warranty!E:E)</f>
        <v>5.0000000000000001E-3</v>
      </c>
      <c r="AK262" s="8">
        <f>IF($I262="AUD",VLOOKUP(RIGHT('Wk - Margins'!$G262,3),'AU Freight'!C:G,5,0),0)</f>
        <v>0</v>
      </c>
      <c r="AL262" s="15">
        <f t="shared" si="90"/>
        <v>0</v>
      </c>
      <c r="AM262" s="61">
        <f t="shared" si="91"/>
        <v>10736.053151287868</v>
      </c>
      <c r="AN262" s="63">
        <f t="shared" si="92"/>
        <v>0.1551969255420359</v>
      </c>
      <c r="AQ262" s="147"/>
    </row>
    <row r="263" spans="1:43">
      <c r="A263" s="10" t="str">
        <f>'Input - Bookings'!A263</f>
        <v>10-30</v>
      </c>
      <c r="B263" s="11" t="str">
        <f>'Input - Bookings'!C263</f>
        <v>A</v>
      </c>
      <c r="C263" s="11" t="str">
        <f>'Input - Bookings'!H263</f>
        <v>MY</v>
      </c>
      <c r="D263" s="24" t="str">
        <f>'Input - Bookings'!E263</f>
        <v>065</v>
      </c>
      <c r="E263" s="24" t="str">
        <f>'Input - Bookings'!G263</f>
        <v>SIME DARBY MATERIAL</v>
      </c>
      <c r="F263" s="24" t="str">
        <f>'Input - Bookings'!I263</f>
        <v>H68960</v>
      </c>
      <c r="G263" s="24" t="str">
        <f>'Input - Bookings'!L263</f>
        <v>A3C1</v>
      </c>
      <c r="H263" s="24" t="str">
        <f>'Input - Bookings'!M263</f>
        <v>H3.0UT</v>
      </c>
      <c r="I263" s="24" t="str">
        <f>'Input - Bookings'!B263</f>
        <v>USD</v>
      </c>
      <c r="J263" s="13" t="str">
        <f>IF(I263="USD",INDEX('AP Plants'!A:A,MATCH(G263,'AP Plants'!D:D,0)),INDEX('Australia Plants'!A:A,MATCH(G263,'Australia Plants'!D:D,0)))</f>
        <v>Maximal</v>
      </c>
      <c r="K263" s="73">
        <v>1</v>
      </c>
      <c r="L263" s="97">
        <v>20905</v>
      </c>
      <c r="M263" s="97">
        <v>12708.35</v>
      </c>
      <c r="N263" s="99">
        <v>0.1551969255420359</v>
      </c>
      <c r="O263" s="25">
        <f t="shared" si="74"/>
        <v>0.3920904089930638</v>
      </c>
      <c r="P263" s="14">
        <f>IFERROR(IF(OR(B263&amp;C263="PAU",B263&amp;C263="AIN"),VLOOKUP(B263&amp;C263&amp;G263,#REF!,8,0),VLOOKUP(B263&amp;G263,#REF!,8,0)),0)</f>
        <v>0</v>
      </c>
      <c r="Q263" s="15">
        <f t="shared" si="93"/>
        <v>0.1551969255420359</v>
      </c>
      <c r="R263" s="16" t="str">
        <f t="shared" si="75"/>
        <v>AOP</v>
      </c>
      <c r="S263" s="17">
        <f t="shared" si="76"/>
        <v>1972.296848712132</v>
      </c>
      <c r="T263" s="18">
        <f t="shared" si="77"/>
        <v>1972.296848712132</v>
      </c>
      <c r="U263" s="23">
        <f t="shared" si="95"/>
        <v>12708.35</v>
      </c>
      <c r="Y263" s="8" t="str">
        <f t="shared" si="78"/>
        <v>AMYH68960H3.0UT</v>
      </c>
      <c r="Z263" s="8" t="str">
        <f>IF(Y263='Input - Bookings'!Q256,"OK","Check")</f>
        <v>Check</v>
      </c>
      <c r="AA263" s="139"/>
      <c r="AB263" s="103"/>
      <c r="AC263" s="103"/>
      <c r="AD263" s="100">
        <v>10525.542305184186</v>
      </c>
      <c r="AE263" s="100"/>
      <c r="AF263" s="8" t="str">
        <f t="array" ref="AF263">_xlfn.XLOOKUP($G263,'AP Plants'!D:D,'AP Plants'!B:B)</f>
        <v>Class 5 NOT BT</v>
      </c>
      <c r="AG263" s="102"/>
      <c r="AH263" s="102">
        <f t="shared" si="96"/>
        <v>10525.542305184186</v>
      </c>
      <c r="AI263" s="44">
        <v>1.4999999999999999E-2</v>
      </c>
      <c r="AJ263" s="15">
        <f>_xlfn.XLOOKUP($AF263,Warranty!B:B,Warranty!E:E)</f>
        <v>5.0000000000000001E-3</v>
      </c>
      <c r="AK263" s="8">
        <f>IF($I263="AUD",VLOOKUP(RIGHT('Wk - Margins'!$G263,3),'AU Freight'!C:G,5,0),0)</f>
        <v>0</v>
      </c>
      <c r="AL263" s="15">
        <f t="shared" si="90"/>
        <v>0</v>
      </c>
      <c r="AM263" s="61">
        <f t="shared" si="91"/>
        <v>10736.053151287868</v>
      </c>
      <c r="AN263" s="63">
        <f t="shared" si="92"/>
        <v>0.1551969255420359</v>
      </c>
      <c r="AQ263" s="147"/>
    </row>
    <row r="264" spans="1:43">
      <c r="A264" s="10" t="str">
        <f>'Input - Bookings'!A264</f>
        <v>10-30</v>
      </c>
      <c r="B264" s="11" t="str">
        <f>'Input - Bookings'!C264</f>
        <v>A</v>
      </c>
      <c r="C264" s="11" t="str">
        <f>'Input - Bookings'!H264</f>
        <v>TW</v>
      </c>
      <c r="D264" s="24" t="str">
        <f>'Input - Bookings'!E264</f>
        <v>065</v>
      </c>
      <c r="E264" s="24" t="str">
        <f>'Input - Bookings'!G264</f>
        <v>TA YIH MATERIALS HANDLING</v>
      </c>
      <c r="F264" s="146" t="str">
        <f>'Input - Bookings'!I264</f>
        <v>H68907</v>
      </c>
      <c r="G264" s="24" t="str">
        <f>'Input - Bookings'!L264</f>
        <v>A3C4</v>
      </c>
      <c r="H264" s="24" t="str">
        <f>'Input - Bookings'!M264</f>
        <v>J2.5UT</v>
      </c>
      <c r="I264" s="24" t="str">
        <f>'Input - Bookings'!B264</f>
        <v>USD</v>
      </c>
      <c r="J264" s="13" t="str">
        <f>IF(I264="USD",INDEX('AP Plants'!A:A,MATCH(G264,'AP Plants'!D:D,0)),INDEX('Australia Plants'!A:A,MATCH(G264,'Australia Plants'!D:D,0)))</f>
        <v>Maximal</v>
      </c>
      <c r="K264" s="73">
        <v>1</v>
      </c>
      <c r="L264" s="97">
        <v>23252</v>
      </c>
      <c r="M264" s="97">
        <v>15437</v>
      </c>
      <c r="N264" s="99">
        <v>0.11151957804727175</v>
      </c>
      <c r="O264" s="25">
        <f t="shared" si="74"/>
        <v>0.33610012041974879</v>
      </c>
      <c r="P264" s="14">
        <f>IFERROR(IF(OR(B264&amp;C264="PAU",B264&amp;C264="AIN"),VLOOKUP(B264&amp;C264&amp;G264,#REF!,8,0),VLOOKUP(B264&amp;G264,#REF!,8,0)),0)</f>
        <v>0</v>
      </c>
      <c r="Q264" s="15">
        <f t="shared" si="93"/>
        <v>0.11151957804727175</v>
      </c>
      <c r="R264" s="16" t="str">
        <f t="shared" si="75"/>
        <v>AOP</v>
      </c>
      <c r="S264" s="17">
        <f t="shared" si="76"/>
        <v>1721.5277263157341</v>
      </c>
      <c r="T264" s="18">
        <f t="shared" si="77"/>
        <v>1721.5277263157341</v>
      </c>
      <c r="U264" s="23">
        <f t="shared" si="95"/>
        <v>15437</v>
      </c>
      <c r="Y264" s="8" t="str">
        <f t="shared" si="78"/>
        <v>ATWH68907J2.5UT</v>
      </c>
      <c r="Z264" s="8" t="str">
        <f>IF(Y264='Input - Bookings'!Q257,"OK","Check")</f>
        <v>Check</v>
      </c>
      <c r="AA264" s="139"/>
      <c r="AB264" s="103"/>
      <c r="AC264" s="103"/>
      <c r="AD264" s="100">
        <f>13246.5414447885+200</f>
        <v>13446.5414447885</v>
      </c>
      <c r="AE264" s="100"/>
      <c r="AF264" s="8" t="str">
        <f t="array" ref="AF264">_xlfn.XLOOKUP($G264,'AP Plants'!D:D,'AP Plants'!B:B)</f>
        <v>Class 1</v>
      </c>
      <c r="AG264" s="102"/>
      <c r="AH264" s="102">
        <f t="shared" si="96"/>
        <v>13446.5414447885</v>
      </c>
      <c r="AI264" s="44">
        <v>1.4999999999999999E-2</v>
      </c>
      <c r="AJ264" s="15">
        <f>_xlfn.XLOOKUP($AF264,Warranty!B:B,Warranty!E:E)</f>
        <v>5.0000000000000001E-3</v>
      </c>
      <c r="AK264" s="8">
        <f>IF($I264="AUD",VLOOKUP(RIGHT('Wk - Margins'!$G264,3),'AU Freight'!C:G,5,0),0)</f>
        <v>0</v>
      </c>
      <c r="AL264" s="15">
        <f t="shared" si="90"/>
        <v>0</v>
      </c>
      <c r="AM264" s="61">
        <f t="shared" si="91"/>
        <v>13715.472273684267</v>
      </c>
      <c r="AN264" s="63">
        <f t="shared" si="92"/>
        <v>0.11151957804727175</v>
      </c>
      <c r="AQ264" s="147"/>
    </row>
    <row r="265" spans="1:43">
      <c r="A265" s="10" t="str">
        <f>'Input - Bookings'!A265</f>
        <v>10-30</v>
      </c>
      <c r="B265" s="11" t="str">
        <f>'Input - Bookings'!C265</f>
        <v>A</v>
      </c>
      <c r="C265" s="11" t="str">
        <f>'Input - Bookings'!H265</f>
        <v>TW</v>
      </c>
      <c r="D265" s="24" t="str">
        <f>'Input - Bookings'!E265</f>
        <v>065</v>
      </c>
      <c r="E265" s="24" t="str">
        <f>'Input - Bookings'!G265</f>
        <v>TA YIH MATERIALS HANDLING</v>
      </c>
      <c r="F265" s="146" t="str">
        <f>'Input - Bookings'!I265</f>
        <v>H68908</v>
      </c>
      <c r="G265" s="24" t="str">
        <f>'Input - Bookings'!L265</f>
        <v>A3C4</v>
      </c>
      <c r="H265" s="24" t="str">
        <f>'Input - Bookings'!M265</f>
        <v>J2.5UT</v>
      </c>
      <c r="I265" s="24" t="str">
        <f>'Input - Bookings'!B265</f>
        <v>USD</v>
      </c>
      <c r="J265" s="13" t="str">
        <f>IF(I265="USD",INDEX('AP Plants'!A:A,MATCH(G265,'AP Plants'!D:D,0)),INDEX('Australia Plants'!A:A,MATCH(G265,'Australia Plants'!D:D,0)))</f>
        <v>Maximal</v>
      </c>
      <c r="K265" s="73">
        <v>1</v>
      </c>
      <c r="L265" s="97">
        <v>23722</v>
      </c>
      <c r="M265" s="97">
        <v>15794.200000000003</v>
      </c>
      <c r="N265" s="99">
        <v>0.11467975350749238</v>
      </c>
      <c r="O265" s="25">
        <f t="shared" ref="O265:O328" si="97">1-M265/L265</f>
        <v>0.3341961048815445</v>
      </c>
      <c r="P265" s="14">
        <f>IFERROR(IF(OR(B265&amp;C265="PAU",B265&amp;C265="AIN"),VLOOKUP(B265&amp;C265&amp;G265,#REF!,8,0),VLOOKUP(B265&amp;G265,#REF!,8,0)),0)</f>
        <v>0</v>
      </c>
      <c r="Q265" s="15">
        <f t="shared" si="93"/>
        <v>0.11467975350749238</v>
      </c>
      <c r="R265" s="16" t="str">
        <f t="shared" ref="R265:R328" si="98">IF(Q265&gt;=0%,"AOP",IF(Q265&gt;=-2%,"GM",IF(Q265&gt;=-6%,"MD","VP")))</f>
        <v>AOP</v>
      </c>
      <c r="S265" s="17">
        <f t="shared" ref="S265:S328" si="99">K265*M265*(N265-P265)</f>
        <v>1811.2749628480365</v>
      </c>
      <c r="T265" s="18">
        <f t="shared" ref="T265:T328" si="100">IF(I265="USD",S265,S265/$X$6)</f>
        <v>1811.2749628480365</v>
      </c>
      <c r="U265" s="23">
        <f t="shared" si="95"/>
        <v>15794.200000000003</v>
      </c>
      <c r="Y265" s="8" t="str">
        <f t="shared" ref="Y265:Y328" si="101">B265&amp;C265&amp;F265&amp;H265</f>
        <v>ATWH68908J2.5UT</v>
      </c>
      <c r="Z265" s="8" t="str">
        <f>IF(Y265='Input - Bookings'!Q258,"OK","Check")</f>
        <v>Check</v>
      </c>
      <c r="AA265" s="139"/>
      <c r="AB265" s="103"/>
      <c r="AC265" s="103"/>
      <c r="AD265" s="100">
        <f>13508.7500364235+200</f>
        <v>13708.7500364235</v>
      </c>
      <c r="AE265" s="100"/>
      <c r="AF265" s="8" t="str">
        <f t="array" ref="AF265">_xlfn.XLOOKUP($G265,'AP Plants'!D:D,'AP Plants'!B:B)</f>
        <v>Class 1</v>
      </c>
      <c r="AG265" s="102"/>
      <c r="AH265" s="102">
        <f t="shared" si="96"/>
        <v>13708.7500364235</v>
      </c>
      <c r="AI265" s="44">
        <v>1.4999999999999999E-2</v>
      </c>
      <c r="AJ265" s="15">
        <f>_xlfn.XLOOKUP($AF265,Warranty!B:B,Warranty!E:E)</f>
        <v>5.0000000000000001E-3</v>
      </c>
      <c r="AK265" s="8">
        <f>IF($I265="AUD",VLOOKUP(RIGHT('Wk - Margins'!$G265,3),'AU Freight'!C:G,5,0),0)</f>
        <v>0</v>
      </c>
      <c r="AL265" s="15">
        <f t="shared" si="90"/>
        <v>0</v>
      </c>
      <c r="AM265" s="61">
        <f t="shared" ref="AM265:AM328" si="102">SUM(AG265:AH265)*(1+AI265+AJ265+AL265)+AK265</f>
        <v>13982.925037151967</v>
      </c>
      <c r="AN265" s="63">
        <f t="shared" si="92"/>
        <v>0.11467975350749238</v>
      </c>
      <c r="AQ265" s="147"/>
    </row>
    <row r="266" spans="1:43">
      <c r="A266" s="10" t="str">
        <f>'Input - Bookings'!A266</f>
        <v>10-31</v>
      </c>
      <c r="B266" s="11" t="str">
        <f>'Input - Bookings'!C266</f>
        <v>A</v>
      </c>
      <c r="C266" s="11" t="str">
        <f>'Input - Bookings'!H266</f>
        <v>TH</v>
      </c>
      <c r="D266" s="24" t="str">
        <f>'Input - Bookings'!E266</f>
        <v>065</v>
      </c>
      <c r="E266" s="24" t="str">
        <f>'Input - Bookings'!G266</f>
        <v>DILOK AND SONS CO.,LTD.</v>
      </c>
      <c r="F266" s="24" t="str">
        <f>'Input - Bookings'!I266</f>
        <v>H69314</v>
      </c>
      <c r="G266" s="24" t="str">
        <f>'Input - Bookings'!L266</f>
        <v>D466</v>
      </c>
      <c r="H266" s="24" t="str">
        <f>'Input - Bookings'!M266</f>
        <v>H2.5XT</v>
      </c>
      <c r="I266" s="24" t="str">
        <f>'Input - Bookings'!B266</f>
        <v>USD</v>
      </c>
      <c r="J266" s="13" t="str">
        <f>IF(I266="USD",INDEX('AP Plants'!A:A,MATCH(G266,'AP Plants'!D:D,0)),INDEX('Australia Plants'!A:A,MATCH(G266,'Australia Plants'!D:D,0)))</f>
        <v>SN</v>
      </c>
      <c r="K266" s="73">
        <v>1</v>
      </c>
      <c r="L266" s="97">
        <v>28705</v>
      </c>
      <c r="M266" s="97">
        <v>16304.7</v>
      </c>
      <c r="N266" s="99">
        <v>7.0744620712067441E-2</v>
      </c>
      <c r="O266" s="25">
        <f t="shared" si="97"/>
        <v>0.43199094234453927</v>
      </c>
      <c r="P266" s="14">
        <f>IFERROR(IF(OR(B266&amp;C266="PAU",B266&amp;C266="AIN"),VLOOKUP(B266&amp;C266&amp;G266,#REF!,8,0),VLOOKUP(B266&amp;G266,#REF!,8,0)),0)</f>
        <v>0</v>
      </c>
      <c r="Q266" s="15">
        <f t="shared" si="93"/>
        <v>7.0744620712067441E-2</v>
      </c>
      <c r="R266" s="16" t="str">
        <f t="shared" si="98"/>
        <v>AOP</v>
      </c>
      <c r="S266" s="17">
        <f t="shared" si="99"/>
        <v>1153.4698173240461</v>
      </c>
      <c r="T266" s="18">
        <f t="shared" si="100"/>
        <v>1153.4698173240461</v>
      </c>
      <c r="U266" s="23">
        <f t="shared" si="95"/>
        <v>16304.7</v>
      </c>
      <c r="Y266" s="8" t="str">
        <f t="shared" si="101"/>
        <v>ATHH69314H2.5XT</v>
      </c>
      <c r="Z266" s="8" t="str">
        <f>IF(Y266='Input - Bookings'!Q263,"OK","Check")</f>
        <v>Check</v>
      </c>
      <c r="AA266" s="139"/>
      <c r="AB266" s="103"/>
      <c r="AC266" s="103"/>
      <c r="AD266" s="100">
        <v>14854.147237917605</v>
      </c>
      <c r="AE266" s="100"/>
      <c r="AF266" s="8" t="str">
        <f t="array" ref="AF266">_xlfn.XLOOKUP($G266,'AP Plants'!D:D,'AP Plants'!B:B)</f>
        <v>Class 5 NOT BT</v>
      </c>
      <c r="AG266" s="102"/>
      <c r="AH266" s="102">
        <f t="shared" ref="AH266:AH295" si="103">AD266</f>
        <v>14854.147237917605</v>
      </c>
      <c r="AI266" s="44">
        <v>1.4999999999999999E-2</v>
      </c>
      <c r="AJ266" s="15">
        <f>_xlfn.XLOOKUP($AF266,Warranty!B:B,Warranty!E:E)</f>
        <v>5.0000000000000001E-3</v>
      </c>
      <c r="AK266" s="8">
        <f>IF($I266="AUD",VLOOKUP(RIGHT('Wk - Margins'!$G266,3),'AU Freight'!C:G,5,0),0)</f>
        <v>0</v>
      </c>
      <c r="AL266" s="15">
        <f t="shared" si="90"/>
        <v>0</v>
      </c>
      <c r="AM266" s="61">
        <f t="shared" si="102"/>
        <v>15151.230182675954</v>
      </c>
      <c r="AN266" s="63">
        <f t="shared" si="92"/>
        <v>7.0744620712067441E-2</v>
      </c>
      <c r="AQ266" s="147"/>
    </row>
    <row r="267" spans="1:43">
      <c r="A267" s="10" t="str">
        <f>'Input - Bookings'!A267</f>
        <v>10-31</v>
      </c>
      <c r="B267" s="11" t="str">
        <f>'Input - Bookings'!C267</f>
        <v>A</v>
      </c>
      <c r="C267" s="11" t="str">
        <f>'Input - Bookings'!H267</f>
        <v>TH</v>
      </c>
      <c r="D267" s="24" t="str">
        <f>'Input - Bookings'!E267</f>
        <v>065</v>
      </c>
      <c r="E267" s="24" t="str">
        <f>'Input - Bookings'!G267</f>
        <v>DILOK AND SONS CO.,LTD.</v>
      </c>
      <c r="F267" s="24" t="str">
        <f>'Input - Bookings'!I267</f>
        <v>H69317</v>
      </c>
      <c r="G267" s="24" t="str">
        <f>'Input - Bookings'!L267</f>
        <v>A3C1</v>
      </c>
      <c r="H267" s="24" t="str">
        <f>'Input - Bookings'!M267</f>
        <v>H3.0UT</v>
      </c>
      <c r="I267" s="24" t="str">
        <f>'Input - Bookings'!B267</f>
        <v>USD</v>
      </c>
      <c r="J267" s="13" t="str">
        <f>IF(I267="USD",INDEX('AP Plants'!A:A,MATCH(G267,'AP Plants'!D:D,0)),INDEX('Australia Plants'!A:A,MATCH(G267,'Australia Plants'!D:D,0)))</f>
        <v>Maximal</v>
      </c>
      <c r="K267" s="73">
        <v>1</v>
      </c>
      <c r="L267" s="97">
        <v>20885</v>
      </c>
      <c r="M267" s="97">
        <v>12881.2</v>
      </c>
      <c r="N267" s="99">
        <v>0.1747299543273344</v>
      </c>
      <c r="O267" s="25">
        <f t="shared" si="97"/>
        <v>0.38323198467799857</v>
      </c>
      <c r="P267" s="14">
        <f>IFERROR(IF(OR(B267&amp;C267="PAU",B267&amp;C267="AIN"),VLOOKUP(B267&amp;C267&amp;G267,#REF!,8,0),VLOOKUP(B267&amp;G267,#REF!,8,0)),0)</f>
        <v>0</v>
      </c>
      <c r="Q267" s="15">
        <f t="shared" si="93"/>
        <v>0.1747299543273344</v>
      </c>
      <c r="R267" s="16" t="str">
        <f t="shared" si="98"/>
        <v>AOP</v>
      </c>
      <c r="S267" s="17">
        <f t="shared" si="99"/>
        <v>2250.7314876812602</v>
      </c>
      <c r="T267" s="18">
        <f t="shared" si="100"/>
        <v>2250.7314876812602</v>
      </c>
      <c r="U267" s="23">
        <f t="shared" si="95"/>
        <v>12881.2</v>
      </c>
      <c r="Y267" s="8" t="str">
        <f t="shared" si="101"/>
        <v>ATHH69317H3.0UT</v>
      </c>
      <c r="Z267" s="8" t="str">
        <f>IF(Y267='Input - Bookings'!Q264,"OK","Check")</f>
        <v>Check</v>
      </c>
      <c r="AA267" s="139"/>
      <c r="AB267" s="103"/>
      <c r="AC267" s="103"/>
      <c r="AD267" s="100">
        <v>10422.02795325367</v>
      </c>
      <c r="AE267" s="100"/>
      <c r="AF267" s="8" t="str">
        <f t="array" ref="AF267">_xlfn.XLOOKUP($G267,'AP Plants'!D:D,'AP Plants'!B:B)</f>
        <v>Class 5 NOT BT</v>
      </c>
      <c r="AG267" s="102"/>
      <c r="AH267" s="102">
        <f t="shared" si="103"/>
        <v>10422.02795325367</v>
      </c>
      <c r="AI267" s="44">
        <v>1.4999999999999999E-2</v>
      </c>
      <c r="AJ267" s="15">
        <f>_xlfn.XLOOKUP($AF267,Warranty!B:B,Warranty!E:E)</f>
        <v>5.0000000000000001E-3</v>
      </c>
      <c r="AK267" s="8">
        <f>IF($I267="AUD",VLOOKUP(RIGHT('Wk - Margins'!$G267,3),'AU Freight'!C:G,5,0),0)</f>
        <v>0</v>
      </c>
      <c r="AL267" s="15">
        <f t="shared" si="90"/>
        <v>0</v>
      </c>
      <c r="AM267" s="61">
        <f t="shared" si="102"/>
        <v>10630.468512318741</v>
      </c>
      <c r="AN267" s="63">
        <f t="shared" si="92"/>
        <v>0.1747299543273344</v>
      </c>
      <c r="AQ267" s="147"/>
    </row>
    <row r="268" spans="1:43">
      <c r="A268" s="10" t="str">
        <f>'Input - Bookings'!A268</f>
        <v>10-31</v>
      </c>
      <c r="B268" s="11" t="str">
        <f>'Input - Bookings'!C268</f>
        <v>A</v>
      </c>
      <c r="C268" s="11" t="str">
        <f>'Input - Bookings'!H268</f>
        <v>TH</v>
      </c>
      <c r="D268" s="24" t="str">
        <f>'Input - Bookings'!E268</f>
        <v>065</v>
      </c>
      <c r="E268" s="24" t="str">
        <f>'Input - Bookings'!G268</f>
        <v>DILOK AND SONS CO.,LTD.</v>
      </c>
      <c r="F268" s="24" t="str">
        <f>'Input - Bookings'!I268</f>
        <v>H69318</v>
      </c>
      <c r="G268" s="24" t="str">
        <f>'Input - Bookings'!L268</f>
        <v>A3C1</v>
      </c>
      <c r="H268" s="24" t="str">
        <f>'Input - Bookings'!M268</f>
        <v>H3.0UT</v>
      </c>
      <c r="I268" s="24" t="str">
        <f>'Input - Bookings'!B268</f>
        <v>USD</v>
      </c>
      <c r="J268" s="13" t="str">
        <f>IF(I268="USD",INDEX('AP Plants'!A:A,MATCH(G268,'AP Plants'!D:D,0)),INDEX('Australia Plants'!A:A,MATCH(G268,'Australia Plants'!D:D,0)))</f>
        <v>Maximal</v>
      </c>
      <c r="K268" s="73">
        <v>1</v>
      </c>
      <c r="L268" s="97">
        <v>20055</v>
      </c>
      <c r="M268" s="97">
        <v>12424.1</v>
      </c>
      <c r="N268" s="99">
        <v>0.19306542759530576</v>
      </c>
      <c r="O268" s="25">
        <f t="shared" si="97"/>
        <v>0.38049862877088003</v>
      </c>
      <c r="P268" s="14">
        <f>IFERROR(IF(OR(B268&amp;C268="PAU",B268&amp;C268="AIN"),VLOOKUP(B268&amp;C268&amp;G268,#REF!,8,0),VLOOKUP(B268&amp;G268,#REF!,8,0)),0)</f>
        <v>0</v>
      </c>
      <c r="Q268" s="15">
        <f t="shared" si="93"/>
        <v>0.19306542759530576</v>
      </c>
      <c r="R268" s="16" t="str">
        <f t="shared" si="98"/>
        <v>AOP</v>
      </c>
      <c r="S268" s="17">
        <f t="shared" si="99"/>
        <v>2398.6641789868386</v>
      </c>
      <c r="T268" s="18">
        <f t="shared" si="100"/>
        <v>2398.6641789868386</v>
      </c>
      <c r="U268" s="23">
        <f t="shared" si="95"/>
        <v>12424.1</v>
      </c>
      <c r="Y268" s="8" t="str">
        <f t="shared" si="101"/>
        <v>ATHH69318H3.0UT</v>
      </c>
      <c r="Z268" s="8" t="str">
        <f>IF(Y268='Input - Bookings'!Q265,"OK","Check")</f>
        <v>Check</v>
      </c>
      <c r="AA268" s="139"/>
      <c r="AB268" s="103"/>
      <c r="AC268" s="103"/>
      <c r="AD268" s="100">
        <v>9828.8586480521208</v>
      </c>
      <c r="AE268" s="100"/>
      <c r="AF268" s="8" t="str">
        <f t="array" ref="AF268">_xlfn.XLOOKUP($G268,'AP Plants'!D:D,'AP Plants'!B:B)</f>
        <v>Class 5 NOT BT</v>
      </c>
      <c r="AG268" s="102"/>
      <c r="AH268" s="102">
        <f t="shared" si="103"/>
        <v>9828.8586480521208</v>
      </c>
      <c r="AI268" s="44">
        <v>1.4999999999999999E-2</v>
      </c>
      <c r="AJ268" s="15">
        <f>_xlfn.XLOOKUP($AF268,Warranty!B:B,Warranty!E:E)</f>
        <v>5.0000000000000001E-3</v>
      </c>
      <c r="AK268" s="8">
        <f>IF($I268="AUD",VLOOKUP(RIGHT('Wk - Margins'!$G268,3),'AU Freight'!C:G,5,0),0)</f>
        <v>0</v>
      </c>
      <c r="AL268" s="15">
        <f t="shared" si="90"/>
        <v>0</v>
      </c>
      <c r="AM268" s="61">
        <f t="shared" si="102"/>
        <v>10025.435821013161</v>
      </c>
      <c r="AN268" s="63">
        <f t="shared" si="92"/>
        <v>0.19306542759530576</v>
      </c>
      <c r="AQ268" s="147"/>
    </row>
    <row r="269" spans="1:43">
      <c r="A269" s="10" t="str">
        <f>'Input - Bookings'!A269</f>
        <v>10-31</v>
      </c>
      <c r="B269" s="11" t="str">
        <f>'Input - Bookings'!C269</f>
        <v>A</v>
      </c>
      <c r="C269" s="11" t="str">
        <f>'Input - Bookings'!H269</f>
        <v>TH</v>
      </c>
      <c r="D269" s="24" t="str">
        <f>'Input - Bookings'!E269</f>
        <v>065</v>
      </c>
      <c r="E269" s="24" t="str">
        <f>'Input - Bookings'!G269</f>
        <v>DILOK AND SONS CO.,LTD.</v>
      </c>
      <c r="F269" s="24" t="str">
        <f>'Input - Bookings'!I269</f>
        <v>H69319</v>
      </c>
      <c r="G269" s="24" t="str">
        <f>'Input - Bookings'!L269</f>
        <v>A3C1</v>
      </c>
      <c r="H269" s="24" t="str">
        <f>'Input - Bookings'!M269</f>
        <v>H3.0UT</v>
      </c>
      <c r="I269" s="24" t="str">
        <f>'Input - Bookings'!B269</f>
        <v>USD</v>
      </c>
      <c r="J269" s="13" t="str">
        <f>IF(I269="USD",INDEX('AP Plants'!A:A,MATCH(G269,'AP Plants'!D:D,0)),INDEX('Australia Plants'!A:A,MATCH(G269,'Australia Plants'!D:D,0)))</f>
        <v>Maximal</v>
      </c>
      <c r="K269" s="73">
        <v>1</v>
      </c>
      <c r="L269" s="97">
        <v>20055</v>
      </c>
      <c r="M269" s="97">
        <v>12424.1</v>
      </c>
      <c r="N269" s="99">
        <v>0.19306542759530576</v>
      </c>
      <c r="O269" s="25">
        <f t="shared" si="97"/>
        <v>0.38049862877088003</v>
      </c>
      <c r="P269" s="14">
        <f>IFERROR(IF(OR(B269&amp;C269="PAU",B269&amp;C269="AIN"),VLOOKUP(B269&amp;C269&amp;G269,#REF!,8,0),VLOOKUP(B269&amp;G269,#REF!,8,0)),0)</f>
        <v>0</v>
      </c>
      <c r="Q269" s="15">
        <f t="shared" si="93"/>
        <v>0.19306542759530576</v>
      </c>
      <c r="R269" s="16" t="str">
        <f t="shared" si="98"/>
        <v>AOP</v>
      </c>
      <c r="S269" s="17">
        <f t="shared" si="99"/>
        <v>2398.6641789868386</v>
      </c>
      <c r="T269" s="18">
        <f t="shared" si="100"/>
        <v>2398.6641789868386</v>
      </c>
      <c r="U269" s="23">
        <f t="shared" si="95"/>
        <v>12424.1</v>
      </c>
      <c r="Y269" s="8" t="str">
        <f t="shared" si="101"/>
        <v>ATHH69319H3.0UT</v>
      </c>
      <c r="Z269" s="8" t="str">
        <f>IF(Y269='Input - Bookings'!Q266,"OK","Check")</f>
        <v>Check</v>
      </c>
      <c r="AA269" s="139"/>
      <c r="AB269" s="103"/>
      <c r="AC269" s="103"/>
      <c r="AD269" s="100">
        <v>9828.8586480521208</v>
      </c>
      <c r="AE269" s="100"/>
      <c r="AF269" s="8" t="str">
        <f t="array" ref="AF269">_xlfn.XLOOKUP($G269,'AP Plants'!D:D,'AP Plants'!B:B)</f>
        <v>Class 5 NOT BT</v>
      </c>
      <c r="AG269" s="102"/>
      <c r="AH269" s="102">
        <f t="shared" si="103"/>
        <v>9828.8586480521208</v>
      </c>
      <c r="AI269" s="44">
        <v>1.4999999999999999E-2</v>
      </c>
      <c r="AJ269" s="15">
        <f>_xlfn.XLOOKUP($AF269,Warranty!B:B,Warranty!E:E)</f>
        <v>5.0000000000000001E-3</v>
      </c>
      <c r="AK269" s="8">
        <f>IF($I269="AUD",VLOOKUP(RIGHT('Wk - Margins'!$G269,3),'AU Freight'!C:G,5,0),0)</f>
        <v>0</v>
      </c>
      <c r="AL269" s="15">
        <f t="shared" si="90"/>
        <v>0</v>
      </c>
      <c r="AM269" s="61">
        <f t="shared" si="102"/>
        <v>10025.435821013161</v>
      </c>
      <c r="AN269" s="63">
        <f t="shared" si="92"/>
        <v>0.19306542759530576</v>
      </c>
      <c r="AQ269" s="147"/>
    </row>
    <row r="270" spans="1:43">
      <c r="A270" s="10" t="str">
        <f>'Input - Bookings'!A270</f>
        <v>10-31</v>
      </c>
      <c r="B270" s="11" t="str">
        <f>'Input - Bookings'!C270</f>
        <v>A</v>
      </c>
      <c r="C270" s="11" t="str">
        <f>'Input - Bookings'!H270</f>
        <v>TH</v>
      </c>
      <c r="D270" s="24" t="str">
        <f>'Input - Bookings'!E270</f>
        <v>065</v>
      </c>
      <c r="E270" s="24" t="str">
        <f>'Input - Bookings'!G270</f>
        <v>DILOK AND SONS CO.,LTD.</v>
      </c>
      <c r="F270" s="24" t="str">
        <f>'Input - Bookings'!I270</f>
        <v>H69320</v>
      </c>
      <c r="G270" s="24" t="str">
        <f>'Input - Bookings'!L270</f>
        <v>A3C1</v>
      </c>
      <c r="H270" s="24" t="str">
        <f>'Input - Bookings'!M270</f>
        <v>H3.0UT</v>
      </c>
      <c r="I270" s="24" t="str">
        <f>'Input - Bookings'!B270</f>
        <v>USD</v>
      </c>
      <c r="J270" s="13" t="str">
        <f>IF(I270="USD",INDEX('AP Plants'!A:A,MATCH(G270,'AP Plants'!D:D,0)),INDEX('Australia Plants'!A:A,MATCH(G270,'Australia Plants'!D:D,0)))</f>
        <v>Maximal</v>
      </c>
      <c r="K270" s="73">
        <v>1</v>
      </c>
      <c r="L270" s="97">
        <v>20055</v>
      </c>
      <c r="M270" s="97">
        <v>12424.1</v>
      </c>
      <c r="N270" s="99">
        <v>0.19306542759530576</v>
      </c>
      <c r="O270" s="25">
        <f t="shared" si="97"/>
        <v>0.38049862877088003</v>
      </c>
      <c r="P270" s="14">
        <f>IFERROR(IF(OR(B270&amp;C270="PAU",B270&amp;C270="AIN"),VLOOKUP(B270&amp;C270&amp;G270,#REF!,8,0),VLOOKUP(B270&amp;G270,#REF!,8,0)),0)</f>
        <v>0</v>
      </c>
      <c r="Q270" s="15">
        <f t="shared" si="93"/>
        <v>0.19306542759530576</v>
      </c>
      <c r="R270" s="16" t="str">
        <f t="shared" si="98"/>
        <v>AOP</v>
      </c>
      <c r="S270" s="17">
        <f t="shared" si="99"/>
        <v>2398.6641789868386</v>
      </c>
      <c r="T270" s="18">
        <f t="shared" si="100"/>
        <v>2398.6641789868386</v>
      </c>
      <c r="U270" s="23">
        <f t="shared" si="95"/>
        <v>12424.1</v>
      </c>
      <c r="Y270" s="8" t="str">
        <f t="shared" si="101"/>
        <v>ATHH69320H3.0UT</v>
      </c>
      <c r="Z270" s="8" t="str">
        <f>IF(Y270='Input - Bookings'!Q267,"OK","Check")</f>
        <v>Check</v>
      </c>
      <c r="AA270" s="139"/>
      <c r="AB270" s="103"/>
      <c r="AC270" s="103"/>
      <c r="AD270" s="100">
        <v>9828.8586480521208</v>
      </c>
      <c r="AE270" s="100"/>
      <c r="AF270" s="8" t="str">
        <f t="array" ref="AF270">_xlfn.XLOOKUP($G270,'AP Plants'!D:D,'AP Plants'!B:B)</f>
        <v>Class 5 NOT BT</v>
      </c>
      <c r="AG270" s="102"/>
      <c r="AH270" s="102">
        <f t="shared" si="103"/>
        <v>9828.8586480521208</v>
      </c>
      <c r="AI270" s="44">
        <v>1.4999999999999999E-2</v>
      </c>
      <c r="AJ270" s="15">
        <f>_xlfn.XLOOKUP($AF270,Warranty!B:B,Warranty!E:E)</f>
        <v>5.0000000000000001E-3</v>
      </c>
      <c r="AK270" s="8">
        <f>IF($I270="AUD",VLOOKUP(RIGHT('Wk - Margins'!$G270,3),'AU Freight'!C:G,5,0),0)</f>
        <v>0</v>
      </c>
      <c r="AL270" s="15">
        <f t="shared" si="90"/>
        <v>0</v>
      </c>
      <c r="AM270" s="61">
        <f t="shared" si="102"/>
        <v>10025.435821013161</v>
      </c>
      <c r="AN270" s="63">
        <f t="shared" si="92"/>
        <v>0.19306542759530576</v>
      </c>
      <c r="AQ270" s="147"/>
    </row>
    <row r="271" spans="1:43">
      <c r="A271" s="10" t="str">
        <f>'Input - Bookings'!A271</f>
        <v>10-31</v>
      </c>
      <c r="B271" s="11" t="str">
        <f>'Input - Bookings'!C271</f>
        <v>A</v>
      </c>
      <c r="C271" s="11" t="str">
        <f>'Input - Bookings'!H271</f>
        <v>TH</v>
      </c>
      <c r="D271" s="24" t="str">
        <f>'Input - Bookings'!E271</f>
        <v>065</v>
      </c>
      <c r="E271" s="24" t="str">
        <f>'Input - Bookings'!G271</f>
        <v>DILOK AND SONS CO.,LTD.</v>
      </c>
      <c r="F271" s="24" t="str">
        <f>'Input - Bookings'!I271</f>
        <v>H69321</v>
      </c>
      <c r="G271" s="24" t="str">
        <f>'Input - Bookings'!L271</f>
        <v>A3C1</v>
      </c>
      <c r="H271" s="24" t="str">
        <f>'Input - Bookings'!M271</f>
        <v>H3.0UT</v>
      </c>
      <c r="I271" s="24" t="str">
        <f>'Input - Bookings'!B271</f>
        <v>USD</v>
      </c>
      <c r="J271" s="13" t="str">
        <f>IF(I271="USD",INDEX('AP Plants'!A:A,MATCH(G271,'AP Plants'!D:D,0)),INDEX('Australia Plants'!A:A,MATCH(G271,'Australia Plants'!D:D,0)))</f>
        <v>Maximal</v>
      </c>
      <c r="K271" s="73">
        <v>1</v>
      </c>
      <c r="L271" s="97">
        <v>20055</v>
      </c>
      <c r="M271" s="97">
        <v>12424.1</v>
      </c>
      <c r="N271" s="99">
        <v>0.19306542759530576</v>
      </c>
      <c r="O271" s="25">
        <f t="shared" si="97"/>
        <v>0.38049862877088003</v>
      </c>
      <c r="P271" s="14">
        <f>IFERROR(IF(OR(B271&amp;C271="PAU",B271&amp;C271="AIN"),VLOOKUP(B271&amp;C271&amp;G271,#REF!,8,0),VLOOKUP(B271&amp;G271,#REF!,8,0)),0)</f>
        <v>0</v>
      </c>
      <c r="Q271" s="15">
        <f t="shared" si="93"/>
        <v>0.19306542759530576</v>
      </c>
      <c r="R271" s="16" t="str">
        <f t="shared" si="98"/>
        <v>AOP</v>
      </c>
      <c r="S271" s="17">
        <f t="shared" si="99"/>
        <v>2398.6641789868386</v>
      </c>
      <c r="T271" s="18">
        <f t="shared" si="100"/>
        <v>2398.6641789868386</v>
      </c>
      <c r="U271" s="23">
        <f t="shared" si="95"/>
        <v>12424.1</v>
      </c>
      <c r="Y271" s="8" t="str">
        <f t="shared" si="101"/>
        <v>ATHH69321H3.0UT</v>
      </c>
      <c r="Z271" s="8" t="str">
        <f>IF(Y271='Input - Bookings'!Q268,"OK","Check")</f>
        <v>Check</v>
      </c>
      <c r="AA271" s="139"/>
      <c r="AB271" s="103"/>
      <c r="AC271" s="103"/>
      <c r="AD271" s="100">
        <v>9828.8586480521208</v>
      </c>
      <c r="AE271" s="110"/>
      <c r="AF271" s="8" t="str">
        <f t="array" ref="AF271">_xlfn.XLOOKUP($G271,'AP Plants'!D:D,'AP Plants'!B:B)</f>
        <v>Class 5 NOT BT</v>
      </c>
      <c r="AG271" s="102"/>
      <c r="AH271" s="102">
        <f t="shared" si="103"/>
        <v>9828.8586480521208</v>
      </c>
      <c r="AI271" s="44">
        <v>1.4999999999999999E-2</v>
      </c>
      <c r="AJ271" s="15">
        <f>_xlfn.XLOOKUP($AF271,Warranty!B:B,Warranty!E:E)</f>
        <v>5.0000000000000001E-3</v>
      </c>
      <c r="AK271" s="8">
        <f>IF($I271="AUD",VLOOKUP(RIGHT('Wk - Margins'!$G271,3),'AU Freight'!C:G,5,0),0)</f>
        <v>0</v>
      </c>
      <c r="AL271" s="15">
        <f t="shared" si="90"/>
        <v>0</v>
      </c>
      <c r="AM271" s="61">
        <f t="shared" si="102"/>
        <v>10025.435821013161</v>
      </c>
      <c r="AN271" s="63">
        <f t="shared" si="92"/>
        <v>0.19306542759530576</v>
      </c>
      <c r="AQ271" s="147"/>
    </row>
    <row r="272" spans="1:43">
      <c r="A272" s="10" t="str">
        <f>'Input - Bookings'!A272</f>
        <v>10-31</v>
      </c>
      <c r="B272" s="11" t="str">
        <f>'Input - Bookings'!C272</f>
        <v>A</v>
      </c>
      <c r="C272" s="11" t="str">
        <f>'Input - Bookings'!H272</f>
        <v>TH</v>
      </c>
      <c r="D272" s="24" t="str">
        <f>'Input - Bookings'!E272</f>
        <v>065</v>
      </c>
      <c r="E272" s="24" t="str">
        <f>'Input - Bookings'!G272</f>
        <v>DILOK AND SONS CO.,LTD.</v>
      </c>
      <c r="F272" s="24" t="str">
        <f>'Input - Bookings'!I272</f>
        <v>H69322</v>
      </c>
      <c r="G272" s="24" t="str">
        <f>'Input - Bookings'!L272</f>
        <v>A3C1</v>
      </c>
      <c r="H272" s="24" t="str">
        <f>'Input - Bookings'!M272</f>
        <v>H3.0UT</v>
      </c>
      <c r="I272" s="24" t="str">
        <f>'Input - Bookings'!B272</f>
        <v>USD</v>
      </c>
      <c r="J272" s="13" t="str">
        <f>IF(I272="USD",INDEX('AP Plants'!A:A,MATCH(G272,'AP Plants'!D:D,0)),INDEX('Australia Plants'!A:A,MATCH(G272,'Australia Plants'!D:D,0)))</f>
        <v>Maximal</v>
      </c>
      <c r="K272" s="73">
        <v>1</v>
      </c>
      <c r="L272" s="97">
        <v>20055</v>
      </c>
      <c r="M272" s="97">
        <v>12424.1</v>
      </c>
      <c r="N272" s="99">
        <v>0.19306542759530576</v>
      </c>
      <c r="O272" s="25">
        <f>1-M273/L273</f>
        <v>0.38049862877088003</v>
      </c>
      <c r="P272" s="14">
        <f>IFERROR(IF(OR(B272&amp;C272="PAU",B272&amp;C272="AIN"),VLOOKUP(B272&amp;C272&amp;G272,#REF!,8,0),VLOOKUP(B272&amp;G272,#REF!,8,0)),0)</f>
        <v>0</v>
      </c>
      <c r="Q272" s="15">
        <f t="shared" si="93"/>
        <v>0.19306542759530576</v>
      </c>
      <c r="R272" s="16" t="str">
        <f t="shared" si="98"/>
        <v>AOP</v>
      </c>
      <c r="S272" s="17">
        <f t="shared" si="99"/>
        <v>2398.6641789868386</v>
      </c>
      <c r="T272" s="18">
        <f t="shared" si="100"/>
        <v>2398.6641789868386</v>
      </c>
      <c r="U272" s="23">
        <f t="shared" si="95"/>
        <v>12424.1</v>
      </c>
      <c r="Y272" s="8" t="str">
        <f t="shared" si="101"/>
        <v>ATHH69322H3.0UT</v>
      </c>
      <c r="Z272" s="8" t="str">
        <f>IF(Y272='Input - Bookings'!Q269,"OK","Check")</f>
        <v>Check</v>
      </c>
      <c r="AA272" s="139"/>
      <c r="AB272" s="103"/>
      <c r="AC272" s="103"/>
      <c r="AD272" s="100">
        <v>9828.8586480521208</v>
      </c>
      <c r="AE272" s="110"/>
      <c r="AF272" s="8" t="str">
        <f t="array" ref="AF272">_xlfn.XLOOKUP($G272,'AP Plants'!D:D,'AP Plants'!B:B)</f>
        <v>Class 5 NOT BT</v>
      </c>
      <c r="AG272" s="102"/>
      <c r="AH272" s="102">
        <f t="shared" si="103"/>
        <v>9828.8586480521208</v>
      </c>
      <c r="AI272" s="44">
        <v>1.4999999999999999E-2</v>
      </c>
      <c r="AJ272" s="15">
        <f>_xlfn.XLOOKUP($AF272,Warranty!B:B,Warranty!E:E)</f>
        <v>5.0000000000000001E-3</v>
      </c>
      <c r="AK272" s="8">
        <f>IF($I272="AUD",VLOOKUP(RIGHT('Wk - Margins'!$G272,3),'AU Freight'!C:G,5,0),0)</f>
        <v>0</v>
      </c>
      <c r="AL272" s="15">
        <f t="shared" si="90"/>
        <v>0</v>
      </c>
      <c r="AM272" s="61">
        <f t="shared" si="102"/>
        <v>10025.435821013161</v>
      </c>
      <c r="AN272" s="63">
        <f t="shared" si="92"/>
        <v>0.19306542759530576</v>
      </c>
      <c r="AQ272" s="147"/>
    </row>
    <row r="273" spans="1:43">
      <c r="A273" s="10" t="str">
        <f>'Input - Bookings'!A273</f>
        <v>10-31</v>
      </c>
      <c r="B273" s="11" t="str">
        <f>'Input - Bookings'!C273</f>
        <v>A</v>
      </c>
      <c r="C273" s="11" t="str">
        <f>'Input - Bookings'!H273</f>
        <v>TH</v>
      </c>
      <c r="D273" s="24" t="str">
        <f>'Input - Bookings'!E273</f>
        <v>065</v>
      </c>
      <c r="E273" s="24" t="str">
        <f>'Input - Bookings'!G273</f>
        <v>DILOK AND SONS CO.,LTD.</v>
      </c>
      <c r="F273" s="24" t="str">
        <f>'Input - Bookings'!I273</f>
        <v>H69323</v>
      </c>
      <c r="G273" s="24" t="str">
        <f>'Input - Bookings'!L273</f>
        <v>A3C1</v>
      </c>
      <c r="H273" s="24" t="str">
        <f>'Input - Bookings'!M273</f>
        <v>H3.0UT</v>
      </c>
      <c r="I273" s="24" t="str">
        <f>'Input - Bookings'!B273</f>
        <v>USD</v>
      </c>
      <c r="J273" s="13" t="str">
        <f>IF(I273="USD",INDEX('AP Plants'!A:A,MATCH(G273,'AP Plants'!D:D,0)),INDEX('Australia Plants'!A:A,MATCH(G273,'Australia Plants'!D:D,0)))</f>
        <v>Maximal</v>
      </c>
      <c r="K273" s="73">
        <v>1</v>
      </c>
      <c r="L273" s="97">
        <v>20055</v>
      </c>
      <c r="M273" s="97">
        <v>12424.1</v>
      </c>
      <c r="N273" s="99">
        <v>0.19306542759530576</v>
      </c>
      <c r="O273" s="25">
        <f>1-M275/L275</f>
        <v>0.38049862877088003</v>
      </c>
      <c r="P273" s="14">
        <f>IFERROR(IF(OR(B273&amp;C273="PAU",B273&amp;C273="AIN"),VLOOKUP(B273&amp;C273&amp;G273,#REF!,8,0),VLOOKUP(B273&amp;G273,#REF!,8,0)),0)</f>
        <v>0</v>
      </c>
      <c r="Q273" s="15">
        <f t="shared" si="93"/>
        <v>0.19306542759530576</v>
      </c>
      <c r="R273" s="16" t="str">
        <f t="shared" si="98"/>
        <v>AOP</v>
      </c>
      <c r="S273" s="17">
        <f t="shared" si="99"/>
        <v>2398.6641789868386</v>
      </c>
      <c r="T273" s="18">
        <f t="shared" si="100"/>
        <v>2398.6641789868386</v>
      </c>
      <c r="U273" s="23">
        <f t="shared" si="95"/>
        <v>12424.1</v>
      </c>
      <c r="Y273" s="8" t="str">
        <f t="shared" si="101"/>
        <v>ATHH69323H3.0UT</v>
      </c>
      <c r="Z273" s="8" t="str">
        <f>IF(Y273='Input - Bookings'!Q270,"OK","Check")</f>
        <v>Check</v>
      </c>
      <c r="AA273" s="139"/>
      <c r="AB273" s="103"/>
      <c r="AC273" s="103"/>
      <c r="AD273" s="100">
        <v>9828.8586480521208</v>
      </c>
      <c r="AE273" s="110"/>
      <c r="AF273" s="8" t="str">
        <f t="array" ref="AF273">_xlfn.XLOOKUP($G273,'AP Plants'!D:D,'AP Plants'!B:B)</f>
        <v>Class 5 NOT BT</v>
      </c>
      <c r="AG273" s="102"/>
      <c r="AH273" s="102">
        <f t="shared" si="103"/>
        <v>9828.8586480521208</v>
      </c>
      <c r="AI273" s="44">
        <v>1.4999999999999999E-2</v>
      </c>
      <c r="AJ273" s="15">
        <f>_xlfn.XLOOKUP($AF273,Warranty!B:B,Warranty!E:E)</f>
        <v>5.0000000000000001E-3</v>
      </c>
      <c r="AK273" s="8">
        <f>IF($I273="AUD",VLOOKUP(RIGHT('Wk - Margins'!$G273,3),'AU Freight'!C:G,5,0),0)</f>
        <v>0</v>
      </c>
      <c r="AL273" s="15">
        <f t="shared" si="90"/>
        <v>0</v>
      </c>
      <c r="AM273" s="61">
        <f t="shared" si="102"/>
        <v>10025.435821013161</v>
      </c>
      <c r="AN273" s="63">
        <f t="shared" si="92"/>
        <v>0.19306542759530576</v>
      </c>
      <c r="AQ273" s="147"/>
    </row>
    <row r="274" spans="1:43">
      <c r="A274" s="10" t="str">
        <f>'Input - Bookings'!A274</f>
        <v>10-31</v>
      </c>
      <c r="B274" s="11" t="str">
        <f>'Input - Bookings'!C274</f>
        <v>A</v>
      </c>
      <c r="C274" s="11" t="str">
        <f>'Input - Bookings'!H274</f>
        <v>TH</v>
      </c>
      <c r="D274" s="24" t="str">
        <f>'Input - Bookings'!E274</f>
        <v>065</v>
      </c>
      <c r="E274" s="24" t="str">
        <f>'Input - Bookings'!G274</f>
        <v>DILOK AND SONS CO.,LTD.</v>
      </c>
      <c r="F274" s="24" t="str">
        <f>'Input - Bookings'!I274</f>
        <v>H69324</v>
      </c>
      <c r="G274" s="24" t="str">
        <f>'Input - Bookings'!L274</f>
        <v>A3C1</v>
      </c>
      <c r="H274" s="24" t="str">
        <f>'Input - Bookings'!M274</f>
        <v>H3.0UT</v>
      </c>
      <c r="I274" s="24" t="str">
        <f>'Input - Bookings'!B274</f>
        <v>USD</v>
      </c>
      <c r="J274" s="13" t="str">
        <f>IF(I274="USD",INDEX('AP Plants'!A:A,MATCH(G274,'AP Plants'!D:D,0)),INDEX('Australia Plants'!A:A,MATCH(G274,'Australia Plants'!D:D,0)))</f>
        <v>Maximal</v>
      </c>
      <c r="K274" s="73">
        <v>1</v>
      </c>
      <c r="L274" s="97">
        <v>20055</v>
      </c>
      <c r="M274" s="97">
        <v>12424.1</v>
      </c>
      <c r="N274" s="99">
        <v>0.19306542759530576</v>
      </c>
      <c r="O274" s="25">
        <f>1-M276/L276</f>
        <v>0.38049862877088003</v>
      </c>
      <c r="P274" s="14">
        <f>IFERROR(IF(OR(B274&amp;C274="PAU",B274&amp;C274="AIN"),VLOOKUP(B274&amp;C274&amp;G274,#REF!,8,0),VLOOKUP(B274&amp;G274,#REF!,8,0)),0)</f>
        <v>0</v>
      </c>
      <c r="Q274" s="15">
        <f t="shared" ref="Q274" si="104">N274-P274</f>
        <v>0.19306542759530576</v>
      </c>
      <c r="R274" s="16" t="str">
        <f t="shared" ref="R274" si="105">IF(Q274&gt;=0%,"AOP",IF(Q274&gt;=-2%,"GM",IF(Q274&gt;=-6%,"MD","VP")))</f>
        <v>AOP</v>
      </c>
      <c r="S274" s="17">
        <f t="shared" si="99"/>
        <v>2398.6641789868386</v>
      </c>
      <c r="T274" s="18">
        <f t="shared" si="100"/>
        <v>2398.6641789868386</v>
      </c>
      <c r="U274" s="23">
        <f t="shared" si="95"/>
        <v>12424.1</v>
      </c>
      <c r="Y274" s="8" t="str">
        <f t="shared" si="101"/>
        <v>ATHH69324H3.0UT</v>
      </c>
      <c r="Z274" s="8" t="str">
        <f>IF(Y274='Input - Bookings'!Q271,"OK","Check")</f>
        <v>Check</v>
      </c>
      <c r="AA274" s="139"/>
      <c r="AB274" s="103"/>
      <c r="AC274" s="103"/>
      <c r="AD274" s="100">
        <v>9828.8586480521208</v>
      </c>
      <c r="AE274" s="100"/>
      <c r="AF274" s="8" t="str">
        <f t="array" ref="AF274">_xlfn.XLOOKUP($G274,'AP Plants'!D:D,'AP Plants'!B:B)</f>
        <v>Class 5 NOT BT</v>
      </c>
      <c r="AG274" s="102"/>
      <c r="AH274" s="102">
        <f t="shared" si="103"/>
        <v>9828.8586480521208</v>
      </c>
      <c r="AI274" s="44">
        <v>1.4999999999999999E-2</v>
      </c>
      <c r="AJ274" s="15">
        <f>_xlfn.XLOOKUP($AF274,Warranty!B:B,Warranty!E:E)</f>
        <v>5.0000000000000001E-3</v>
      </c>
      <c r="AK274" s="8">
        <f>IF($I274="AUD",VLOOKUP(RIGHT('Wk - Margins'!$G274,3),'AU Freight'!C:G,5,0),0)</f>
        <v>0</v>
      </c>
      <c r="AL274" s="15">
        <f t="shared" si="90"/>
        <v>0</v>
      </c>
      <c r="AM274" s="61">
        <f t="shared" si="102"/>
        <v>10025.435821013161</v>
      </c>
      <c r="AN274" s="63">
        <f t="shared" si="92"/>
        <v>0.19306542759530576</v>
      </c>
      <c r="AQ274" s="147"/>
    </row>
    <row r="275" spans="1:43">
      <c r="A275" s="10" t="str">
        <f>'Input - Bookings'!A275</f>
        <v>10-31</v>
      </c>
      <c r="B275" s="11" t="str">
        <f>'Input - Bookings'!C275</f>
        <v>A</v>
      </c>
      <c r="C275" s="11" t="str">
        <f>'Input - Bookings'!H275</f>
        <v>TH</v>
      </c>
      <c r="D275" s="24" t="str">
        <f>'Input - Bookings'!E275</f>
        <v>065</v>
      </c>
      <c r="E275" s="24" t="str">
        <f>'Input - Bookings'!G275</f>
        <v>DILOK AND SONS CO.,LTD.</v>
      </c>
      <c r="F275" s="24" t="str">
        <f>'Input - Bookings'!I275</f>
        <v>H69325</v>
      </c>
      <c r="G275" s="24" t="str">
        <f>'Input - Bookings'!L275</f>
        <v>A3C1</v>
      </c>
      <c r="H275" s="24" t="str">
        <f>'Input - Bookings'!M275</f>
        <v>H3.0UT</v>
      </c>
      <c r="I275" s="24" t="str">
        <f>'Input - Bookings'!B275</f>
        <v>USD</v>
      </c>
      <c r="J275" s="13" t="str">
        <f>IF(I275="USD",INDEX('AP Plants'!A:A,MATCH(G275,'AP Plants'!D:D,0)),INDEX('Australia Plants'!A:A,MATCH(G275,'Australia Plants'!D:D,0)))</f>
        <v>Maximal</v>
      </c>
      <c r="K275" s="73">
        <v>1</v>
      </c>
      <c r="L275" s="97">
        <v>20055</v>
      </c>
      <c r="M275" s="97">
        <v>12424.1</v>
      </c>
      <c r="N275" s="99">
        <v>0.19306542759530576</v>
      </c>
      <c r="O275" s="25">
        <f t="shared" ref="O275:O277" si="106">1-M277/L277</f>
        <v>0.38049862877088003</v>
      </c>
      <c r="P275" s="14">
        <f>IFERROR(IF(OR(B275&amp;C275="PAU",B275&amp;C275="AIN"),VLOOKUP(B275&amp;C275&amp;G275,#REF!,8,0),VLOOKUP(B275&amp;G275,#REF!,8,0)),0)</f>
        <v>0</v>
      </c>
      <c r="Q275" s="15">
        <f t="shared" ref="Q275:Q282" si="107">N275-P275</f>
        <v>0.19306542759530576</v>
      </c>
      <c r="R275" s="16" t="str">
        <f t="shared" ref="R275:R282" si="108">IF(Q275&gt;=0%,"AOP",IF(Q275&gt;=-2%,"GM",IF(Q275&gt;=-6%,"MD","VP")))</f>
        <v>AOP</v>
      </c>
      <c r="S275" s="17">
        <f t="shared" si="99"/>
        <v>2398.6641789868386</v>
      </c>
      <c r="T275" s="18">
        <f t="shared" si="100"/>
        <v>2398.6641789868386</v>
      </c>
      <c r="U275" s="23">
        <f t="shared" si="95"/>
        <v>12424.1</v>
      </c>
      <c r="Y275" s="8" t="str">
        <f t="shared" si="101"/>
        <v>ATHH69325H3.0UT</v>
      </c>
      <c r="Z275" s="8" t="str">
        <f>IF(Y275='Input - Bookings'!Q272,"OK","Check")</f>
        <v>Check</v>
      </c>
      <c r="AA275" s="118"/>
      <c r="AB275" s="103"/>
      <c r="AC275" s="103"/>
      <c r="AD275" s="100">
        <v>9828.8586480521208</v>
      </c>
      <c r="AE275" s="100"/>
      <c r="AF275" s="8" t="str">
        <f t="array" ref="AF275">_xlfn.XLOOKUP($G275,'AP Plants'!D:D,'AP Plants'!B:B)</f>
        <v>Class 5 NOT BT</v>
      </c>
      <c r="AG275" s="102"/>
      <c r="AH275" s="102">
        <f t="shared" si="103"/>
        <v>9828.8586480521208</v>
      </c>
      <c r="AI275" s="44">
        <v>1.4999999999999999E-2</v>
      </c>
      <c r="AJ275" s="15">
        <f>_xlfn.XLOOKUP($AF275,Warranty!B:B,Warranty!E:E)</f>
        <v>5.0000000000000001E-3</v>
      </c>
      <c r="AK275" s="8">
        <f>IF($I275="AUD",VLOOKUP(RIGHT('Wk - Margins'!$G275,3),'AU Freight'!C:G,5,0),0)</f>
        <v>0</v>
      </c>
      <c r="AL275" s="15">
        <f t="shared" si="90"/>
        <v>0</v>
      </c>
      <c r="AM275" s="61">
        <f t="shared" si="102"/>
        <v>10025.435821013161</v>
      </c>
      <c r="AN275" s="63">
        <f t="shared" si="92"/>
        <v>0.19306542759530576</v>
      </c>
      <c r="AQ275" s="147"/>
    </row>
    <row r="276" spans="1:43">
      <c r="A276" s="10" t="str">
        <f>'Input - Bookings'!A276</f>
        <v>10-31</v>
      </c>
      <c r="B276" s="11" t="str">
        <f>'Input - Bookings'!C276</f>
        <v>A</v>
      </c>
      <c r="C276" s="11" t="str">
        <f>'Input - Bookings'!H276</f>
        <v>TH</v>
      </c>
      <c r="D276" s="24" t="str">
        <f>'Input - Bookings'!E276</f>
        <v>065</v>
      </c>
      <c r="E276" s="24" t="str">
        <f>'Input - Bookings'!G276</f>
        <v>DILOK AND SONS CO.,LTD.</v>
      </c>
      <c r="F276" s="24" t="str">
        <f>'Input - Bookings'!I276</f>
        <v>H69326</v>
      </c>
      <c r="G276" s="24" t="str">
        <f>'Input - Bookings'!L276</f>
        <v>A3C1</v>
      </c>
      <c r="H276" s="24" t="str">
        <f>'Input - Bookings'!M276</f>
        <v>H3.0UT</v>
      </c>
      <c r="I276" s="24" t="str">
        <f>'Input - Bookings'!B276</f>
        <v>USD</v>
      </c>
      <c r="J276" s="13" t="str">
        <f>IF(I276="USD",INDEX('AP Plants'!A:A,MATCH(G276,'AP Plants'!D:D,0)),INDEX('Australia Plants'!A:A,MATCH(G276,'Australia Plants'!D:D,0)))</f>
        <v>Maximal</v>
      </c>
      <c r="K276" s="73">
        <v>1</v>
      </c>
      <c r="L276" s="97">
        <v>20055</v>
      </c>
      <c r="M276" s="97">
        <v>12424.1</v>
      </c>
      <c r="N276" s="99">
        <v>0.19306542759530576</v>
      </c>
      <c r="O276" s="25">
        <f t="shared" si="106"/>
        <v>0.47346532333645741</v>
      </c>
      <c r="P276" s="14">
        <f>IFERROR(IF(OR(B276&amp;C276="PAU",B276&amp;C276="AIN"),VLOOKUP(B276&amp;C276&amp;G276,#REF!,8,0),VLOOKUP(B276&amp;G276,#REF!,8,0)),0)</f>
        <v>0</v>
      </c>
      <c r="Q276" s="15">
        <f t="shared" si="107"/>
        <v>0.19306542759530576</v>
      </c>
      <c r="R276" s="16" t="str">
        <f t="shared" si="108"/>
        <v>AOP</v>
      </c>
      <c r="S276" s="17">
        <f t="shared" si="99"/>
        <v>2398.6641789868386</v>
      </c>
      <c r="T276" s="18">
        <f t="shared" si="100"/>
        <v>2398.6641789868386</v>
      </c>
      <c r="U276" s="23">
        <f t="shared" si="95"/>
        <v>12424.1</v>
      </c>
      <c r="Y276" s="8" t="str">
        <f t="shared" si="101"/>
        <v>ATHH69326H3.0UT</v>
      </c>
      <c r="Z276" s="8" t="str">
        <f>IF(Y276='Input - Bookings'!Q273,"OK","Check")</f>
        <v>Check</v>
      </c>
      <c r="AA276" s="139"/>
      <c r="AB276" s="103"/>
      <c r="AC276" s="103"/>
      <c r="AD276" s="100">
        <v>9828.8586480521208</v>
      </c>
      <c r="AE276" s="100"/>
      <c r="AF276" s="8" t="str">
        <f t="array" ref="AF276">_xlfn.XLOOKUP($G276,'AP Plants'!D:D,'AP Plants'!B:B)</f>
        <v>Class 5 NOT BT</v>
      </c>
      <c r="AG276" s="102"/>
      <c r="AH276" s="102">
        <f t="shared" si="103"/>
        <v>9828.8586480521208</v>
      </c>
      <c r="AI276" s="44">
        <v>1.4999999999999999E-2</v>
      </c>
      <c r="AJ276" s="15">
        <f>_xlfn.XLOOKUP($AF276,Warranty!B:B,Warranty!E:E)</f>
        <v>5.0000000000000001E-3</v>
      </c>
      <c r="AK276" s="8">
        <f>IF($I276="AUD",VLOOKUP(RIGHT('Wk - Margins'!$G276,3),'AU Freight'!C:G,5,0),0)</f>
        <v>0</v>
      </c>
      <c r="AL276" s="15">
        <f t="shared" si="90"/>
        <v>0</v>
      </c>
      <c r="AM276" s="61">
        <f t="shared" si="102"/>
        <v>10025.435821013161</v>
      </c>
      <c r="AN276" s="63">
        <f t="shared" si="92"/>
        <v>0.19306542759530576</v>
      </c>
      <c r="AQ276" s="147"/>
    </row>
    <row r="277" spans="1:43">
      <c r="A277" s="10" t="str">
        <f>'Input - Bookings'!A277</f>
        <v>10-31</v>
      </c>
      <c r="B277" s="11" t="str">
        <f>'Input - Bookings'!C277</f>
        <v>A</v>
      </c>
      <c r="C277" s="11" t="str">
        <f>'Input - Bookings'!H277</f>
        <v>TH</v>
      </c>
      <c r="D277" s="24" t="str">
        <f>'Input - Bookings'!E277</f>
        <v>065</v>
      </c>
      <c r="E277" s="24" t="str">
        <f>'Input - Bookings'!G277</f>
        <v>DILOK AND SONS CO.,LTD.</v>
      </c>
      <c r="F277" s="24" t="str">
        <f>'Input - Bookings'!I277</f>
        <v>H69327</v>
      </c>
      <c r="G277" s="24" t="str">
        <f>'Input - Bookings'!L277</f>
        <v>A3C1</v>
      </c>
      <c r="H277" s="24" t="str">
        <f>'Input - Bookings'!M277</f>
        <v>H3.0UT</v>
      </c>
      <c r="I277" s="24" t="str">
        <f>'Input - Bookings'!B277</f>
        <v>USD</v>
      </c>
      <c r="J277" s="13" t="str">
        <f>IF(I277="USD",INDEX('AP Plants'!A:A,MATCH(G277,'AP Plants'!D:D,0)),INDEX('Australia Plants'!A:A,MATCH(G277,'Australia Plants'!D:D,0)))</f>
        <v>Maximal</v>
      </c>
      <c r="K277" s="73">
        <v>1</v>
      </c>
      <c r="L277" s="97">
        <v>20055</v>
      </c>
      <c r="M277" s="97">
        <v>12424.1</v>
      </c>
      <c r="N277" s="99">
        <v>0.19306542759530576</v>
      </c>
      <c r="O277" s="25">
        <f t="shared" si="106"/>
        <v>0.47346532333645741</v>
      </c>
      <c r="P277" s="14">
        <f>IFERROR(IF(OR(B277&amp;C277="PAU",B277&amp;C277="AIN"),VLOOKUP(B277&amp;C277&amp;G277,#REF!,8,0),VLOOKUP(B277&amp;G277,#REF!,8,0)),0)</f>
        <v>0</v>
      </c>
      <c r="Q277" s="15">
        <f t="shared" si="107"/>
        <v>0.19306542759530576</v>
      </c>
      <c r="R277" s="16" t="str">
        <f t="shared" si="108"/>
        <v>AOP</v>
      </c>
      <c r="S277" s="17">
        <f t="shared" si="99"/>
        <v>2398.6641789868386</v>
      </c>
      <c r="T277" s="18">
        <f t="shared" si="100"/>
        <v>2398.6641789868386</v>
      </c>
      <c r="U277" s="23">
        <f t="shared" si="95"/>
        <v>12424.1</v>
      </c>
      <c r="Y277" s="8" t="str">
        <f t="shared" si="101"/>
        <v>ATHH69327H3.0UT</v>
      </c>
      <c r="Z277" s="8" t="str">
        <f>IF(Y277='Input - Bookings'!Q274,"OK","Check")</f>
        <v>Check</v>
      </c>
      <c r="AA277" s="139"/>
      <c r="AB277" s="103"/>
      <c r="AC277" s="103"/>
      <c r="AD277" s="100">
        <v>9828.8586480521208</v>
      </c>
      <c r="AE277" s="100"/>
      <c r="AF277" s="8" t="str">
        <f t="array" ref="AF277">_xlfn.XLOOKUP($G277,'AP Plants'!D:D,'AP Plants'!B:B)</f>
        <v>Class 5 NOT BT</v>
      </c>
      <c r="AG277" s="102"/>
      <c r="AH277" s="102">
        <f t="shared" si="103"/>
        <v>9828.8586480521208</v>
      </c>
      <c r="AI277" s="44">
        <v>1.4999999999999999E-2</v>
      </c>
      <c r="AJ277" s="15">
        <f>_xlfn.XLOOKUP($AF277,Warranty!B:B,Warranty!E:E)</f>
        <v>5.0000000000000001E-3</v>
      </c>
      <c r="AK277" s="8">
        <f>IF($I277="AUD",VLOOKUP(RIGHT('Wk - Margins'!$G277,3),'AU Freight'!C:G,5,0),0)</f>
        <v>0</v>
      </c>
      <c r="AL277" s="15">
        <f t="shared" si="90"/>
        <v>0</v>
      </c>
      <c r="AM277" s="61">
        <f t="shared" si="102"/>
        <v>10025.435821013161</v>
      </c>
      <c r="AN277" s="63">
        <f t="shared" si="92"/>
        <v>0.19306542759530576</v>
      </c>
      <c r="AQ277" s="147"/>
    </row>
    <row r="278" spans="1:43">
      <c r="A278" s="10" t="str">
        <f>'Input - Bookings'!A278</f>
        <v>10-31</v>
      </c>
      <c r="B278" s="11" t="str">
        <f>'Input - Bookings'!C278</f>
        <v>A</v>
      </c>
      <c r="C278" s="11" t="str">
        <f>'Input - Bookings'!H278</f>
        <v>IN</v>
      </c>
      <c r="D278" s="24" t="str">
        <f>'Input - Bookings'!E278</f>
        <v>067</v>
      </c>
      <c r="E278" s="24" t="str">
        <f>'Input - Bookings'!G278</f>
        <v>ELECTROMECH LIFT TRUCKS</v>
      </c>
      <c r="F278" s="24" t="str">
        <f>'Input - Bookings'!I278</f>
        <v>H69259</v>
      </c>
      <c r="G278" s="24" t="str">
        <f>'Input - Bookings'!L278</f>
        <v>A7S1</v>
      </c>
      <c r="H278" s="24" t="str">
        <f>'Input - Bookings'!M278</f>
        <v>GP30UX</v>
      </c>
      <c r="I278" s="24" t="str">
        <f>'Input - Bookings'!B278</f>
        <v>USD</v>
      </c>
      <c r="J278" s="13" t="str">
        <f>IF(I278="USD",INDEX('AP Plants'!A:A,MATCH(G278,'AP Plants'!D:D,0)),INDEX('Australia Plants'!A:A,MATCH(G278,'Australia Plants'!D:D,0)))</f>
        <v>Maximal</v>
      </c>
      <c r="K278" s="73">
        <v>1</v>
      </c>
      <c r="L278" s="97">
        <v>21340</v>
      </c>
      <c r="M278" s="97">
        <v>11236.25</v>
      </c>
      <c r="N278" s="99">
        <v>2.0686546684821172E-2</v>
      </c>
      <c r="O278" s="25">
        <f t="shared" si="97"/>
        <v>0.47346532333645741</v>
      </c>
      <c r="P278" s="14">
        <f>IFERROR(IF(OR(B278&amp;C278="PAU",B278&amp;C278="AIN"),VLOOKUP(B278&amp;C278&amp;G278,#REF!,8,0),VLOOKUP(B278&amp;G278,#REF!,8,0)),0)</f>
        <v>0</v>
      </c>
      <c r="Q278" s="15">
        <f t="shared" si="107"/>
        <v>2.0686546684821172E-2</v>
      </c>
      <c r="R278" s="16" t="str">
        <f t="shared" si="108"/>
        <v>AOP</v>
      </c>
      <c r="S278" s="17">
        <f t="shared" si="99"/>
        <v>232.43921018732189</v>
      </c>
      <c r="T278" s="18">
        <f t="shared" si="100"/>
        <v>232.43921018732189</v>
      </c>
      <c r="U278" s="23">
        <f t="shared" si="95"/>
        <v>11236.25</v>
      </c>
      <c r="Y278" s="8" t="str">
        <f t="shared" si="101"/>
        <v>AINH69259GP30UX</v>
      </c>
      <c r="Z278" s="8" t="str">
        <f>IF(Y278='Input - Bookings'!Q275,"OK","Check")</f>
        <v>Check</v>
      </c>
      <c r="AA278" s="118"/>
      <c r="AB278" s="103"/>
      <c r="AC278" s="103"/>
      <c r="AD278" s="100">
        <v>10788.049793934</v>
      </c>
      <c r="AE278" s="100"/>
      <c r="AF278" s="8" t="str">
        <f t="array" ref="AF278">_xlfn.XLOOKUP($G278,'AP Plants'!D:D,'AP Plants'!B:B)</f>
        <v>Class 5 NOT BT</v>
      </c>
      <c r="AG278" s="102"/>
      <c r="AH278" s="102">
        <f t="shared" si="103"/>
        <v>10788.049793934</v>
      </c>
      <c r="AI278" s="44">
        <v>1.4999999999999999E-2</v>
      </c>
      <c r="AJ278" s="15">
        <f>_xlfn.XLOOKUP($AF278,Warranty!B:B,Warranty!E:E)</f>
        <v>5.0000000000000001E-3</v>
      </c>
      <c r="AK278" s="8">
        <f>IF($I278="AUD",VLOOKUP(RIGHT('Wk - Margins'!$G278,3),'AU Freight'!C:G,5,0),0)</f>
        <v>0</v>
      </c>
      <c r="AL278" s="15">
        <f t="shared" si="90"/>
        <v>0</v>
      </c>
      <c r="AM278" s="61">
        <f t="shared" si="102"/>
        <v>11003.810789812678</v>
      </c>
      <c r="AN278" s="63">
        <f t="shared" si="92"/>
        <v>2.0686546684821172E-2</v>
      </c>
      <c r="AQ278" s="147"/>
    </row>
    <row r="279" spans="1:43">
      <c r="A279" s="10" t="str">
        <f>'Input - Bookings'!A279</f>
        <v>10-31</v>
      </c>
      <c r="B279" s="11" t="str">
        <f>'Input - Bookings'!C279</f>
        <v>A</v>
      </c>
      <c r="C279" s="11" t="str">
        <f>'Input - Bookings'!H279</f>
        <v>IN</v>
      </c>
      <c r="D279" s="24" t="str">
        <f>'Input - Bookings'!E279</f>
        <v>067</v>
      </c>
      <c r="E279" s="24" t="str">
        <f>'Input - Bookings'!G279</f>
        <v>ELECTROMECH LIFT TRUCKS</v>
      </c>
      <c r="F279" s="24" t="str">
        <f>'Input - Bookings'!I279</f>
        <v>H69260</v>
      </c>
      <c r="G279" s="24" t="str">
        <f>'Input - Bookings'!L279</f>
        <v>A7S1</v>
      </c>
      <c r="H279" s="24" t="str">
        <f>'Input - Bookings'!M279</f>
        <v>GP30UX</v>
      </c>
      <c r="I279" s="24" t="str">
        <f>'Input - Bookings'!B279</f>
        <v>USD</v>
      </c>
      <c r="J279" s="13" t="str">
        <f>IF(I279="USD",INDEX('AP Plants'!A:A,MATCH(G279,'AP Plants'!D:D,0)),INDEX('Australia Plants'!A:A,MATCH(G279,'Australia Plants'!D:D,0)))</f>
        <v>Maximal</v>
      </c>
      <c r="K279" s="73">
        <v>1</v>
      </c>
      <c r="L279" s="97">
        <v>21340</v>
      </c>
      <c r="M279" s="97">
        <v>11236.25</v>
      </c>
      <c r="N279" s="99">
        <v>2.0686546684821172E-2</v>
      </c>
      <c r="O279" s="25">
        <f t="shared" si="97"/>
        <v>0.47346532333645741</v>
      </c>
      <c r="P279" s="14">
        <f>IFERROR(IF(OR(B279&amp;C279="PAU",B279&amp;C279="AIN"),VLOOKUP(B279&amp;C279&amp;G279,#REF!,8,0),VLOOKUP(B279&amp;G279,#REF!,8,0)),0)</f>
        <v>0</v>
      </c>
      <c r="Q279" s="15">
        <f t="shared" si="107"/>
        <v>2.0686546684821172E-2</v>
      </c>
      <c r="R279" s="16" t="str">
        <f t="shared" si="108"/>
        <v>AOP</v>
      </c>
      <c r="S279" s="17">
        <f t="shared" si="99"/>
        <v>232.43921018732189</v>
      </c>
      <c r="T279" s="18">
        <f t="shared" si="100"/>
        <v>232.43921018732189</v>
      </c>
      <c r="U279" s="23">
        <f t="shared" si="95"/>
        <v>11236.25</v>
      </c>
      <c r="Y279" s="8" t="str">
        <f t="shared" si="101"/>
        <v>AINH69260GP30UX</v>
      </c>
      <c r="Z279" s="8" t="str">
        <f>IF(Y279='Input - Bookings'!Q276,"OK","Check")</f>
        <v>Check</v>
      </c>
      <c r="AA279" s="139"/>
      <c r="AB279" s="103"/>
      <c r="AC279" s="103"/>
      <c r="AD279" s="100">
        <v>10788.049793934</v>
      </c>
      <c r="AE279" s="100"/>
      <c r="AF279" s="8" t="str">
        <f t="array" ref="AF279">_xlfn.XLOOKUP($G279,'AP Plants'!D:D,'AP Plants'!B:B)</f>
        <v>Class 5 NOT BT</v>
      </c>
      <c r="AG279" s="102"/>
      <c r="AH279" s="102">
        <f t="shared" si="103"/>
        <v>10788.049793934</v>
      </c>
      <c r="AI279" s="44">
        <v>1.4999999999999999E-2</v>
      </c>
      <c r="AJ279" s="15">
        <f>_xlfn.XLOOKUP($AF279,Warranty!B:B,Warranty!E:E)</f>
        <v>5.0000000000000001E-3</v>
      </c>
      <c r="AK279" s="8">
        <f>IF($I279="AUD",VLOOKUP(RIGHT('Wk - Margins'!$G279,3),'AU Freight'!C:G,5,0),0)</f>
        <v>0</v>
      </c>
      <c r="AL279" s="15">
        <f t="shared" si="90"/>
        <v>0</v>
      </c>
      <c r="AM279" s="61">
        <f t="shared" si="102"/>
        <v>11003.810789812678</v>
      </c>
      <c r="AN279" s="63">
        <f t="shared" si="92"/>
        <v>2.0686546684821172E-2</v>
      </c>
      <c r="AQ279" s="147"/>
    </row>
    <row r="280" spans="1:43">
      <c r="A280" s="10" t="str">
        <f>'Input - Bookings'!A280</f>
        <v>10-31</v>
      </c>
      <c r="B280" s="11" t="str">
        <f>'Input - Bookings'!C280</f>
        <v>A</v>
      </c>
      <c r="C280" s="11" t="str">
        <f>'Input - Bookings'!H280</f>
        <v>IN</v>
      </c>
      <c r="D280" s="24" t="str">
        <f>'Input - Bookings'!E280</f>
        <v>067</v>
      </c>
      <c r="E280" s="24" t="str">
        <f>'Input - Bookings'!G280</f>
        <v>ELECTROMECH LIFT TRUCKS</v>
      </c>
      <c r="F280" s="24" t="str">
        <f>'Input - Bookings'!I280</f>
        <v>H69261</v>
      </c>
      <c r="G280" s="24" t="str">
        <f>'Input - Bookings'!L280</f>
        <v>A7S1</v>
      </c>
      <c r="H280" s="24" t="str">
        <f>'Input - Bookings'!M280</f>
        <v>GP30UX</v>
      </c>
      <c r="I280" s="24" t="str">
        <f>'Input - Bookings'!B280</f>
        <v>USD</v>
      </c>
      <c r="J280" s="13" t="str">
        <f>IF(I280="USD",INDEX('AP Plants'!A:A,MATCH(G280,'AP Plants'!D:D,0)),INDEX('Australia Plants'!A:A,MATCH(G280,'Australia Plants'!D:D,0)))</f>
        <v>Maximal</v>
      </c>
      <c r="K280" s="73">
        <v>1</v>
      </c>
      <c r="L280" s="97">
        <v>21340</v>
      </c>
      <c r="M280" s="97">
        <v>11236.25</v>
      </c>
      <c r="N280" s="99">
        <v>2.0686546684821172E-2</v>
      </c>
      <c r="O280" s="25">
        <f t="shared" si="97"/>
        <v>0.47346532333645741</v>
      </c>
      <c r="P280" s="14">
        <f>IFERROR(IF(OR(B280&amp;C280="PAU",B280&amp;C280="AIN"),VLOOKUP(B280&amp;C280&amp;G280,#REF!,8,0),VLOOKUP(B280&amp;G280,#REF!,8,0)),0)</f>
        <v>0</v>
      </c>
      <c r="Q280" s="15">
        <f t="shared" si="107"/>
        <v>2.0686546684821172E-2</v>
      </c>
      <c r="R280" s="16" t="str">
        <f t="shared" si="108"/>
        <v>AOP</v>
      </c>
      <c r="S280" s="17">
        <f t="shared" si="99"/>
        <v>232.43921018732189</v>
      </c>
      <c r="T280" s="18">
        <f t="shared" si="100"/>
        <v>232.43921018732189</v>
      </c>
      <c r="U280" s="23">
        <f t="shared" si="95"/>
        <v>11236.25</v>
      </c>
      <c r="Y280" s="8" t="str">
        <f t="shared" si="101"/>
        <v>AINH69261GP30UX</v>
      </c>
      <c r="Z280" s="8" t="str">
        <f>IF(Y280='Input - Bookings'!Q277,"OK","Check")</f>
        <v>Check</v>
      </c>
      <c r="AA280" s="139"/>
      <c r="AB280" s="103"/>
      <c r="AC280" s="103"/>
      <c r="AD280" s="100">
        <v>10788.049793934</v>
      </c>
      <c r="AE280" s="100"/>
      <c r="AF280" s="8" t="str">
        <f t="array" ref="AF280">_xlfn.XLOOKUP($G280,'AP Plants'!D:D,'AP Plants'!B:B)</f>
        <v>Class 5 NOT BT</v>
      </c>
      <c r="AG280" s="102"/>
      <c r="AH280" s="102">
        <f t="shared" si="103"/>
        <v>10788.049793934</v>
      </c>
      <c r="AI280" s="44">
        <v>1.4999999999999999E-2</v>
      </c>
      <c r="AJ280" s="15">
        <f>_xlfn.XLOOKUP($AF280,Warranty!B:B,Warranty!E:E)</f>
        <v>5.0000000000000001E-3</v>
      </c>
      <c r="AK280" s="8">
        <f>IF($I280="AUD",VLOOKUP(RIGHT('Wk - Margins'!$G280,3),'AU Freight'!C:G,5,0),0)</f>
        <v>0</v>
      </c>
      <c r="AL280" s="15">
        <f t="shared" ref="AL280:AL328" si="109">IF(AND($I280="AUD",$AF280="Class 5 BT"),5%,0%)</f>
        <v>0</v>
      </c>
      <c r="AM280" s="61">
        <f t="shared" si="102"/>
        <v>11003.810789812678</v>
      </c>
      <c r="AN280" s="63">
        <f t="shared" si="92"/>
        <v>2.0686546684821172E-2</v>
      </c>
      <c r="AQ280" s="147"/>
    </row>
    <row r="281" spans="1:43">
      <c r="A281" s="10" t="str">
        <f>'Input - Bookings'!A281</f>
        <v>10-31</v>
      </c>
      <c r="B281" s="11" t="str">
        <f>'Input - Bookings'!C281</f>
        <v>A</v>
      </c>
      <c r="C281" s="11" t="str">
        <f>'Input - Bookings'!H281</f>
        <v>IN</v>
      </c>
      <c r="D281" s="24" t="str">
        <f>'Input - Bookings'!E281</f>
        <v>067</v>
      </c>
      <c r="E281" s="24" t="str">
        <f>'Input - Bookings'!G281</f>
        <v>ELECTROMECH LIFT TRUCKS</v>
      </c>
      <c r="F281" s="24" t="str">
        <f>'Input - Bookings'!I281</f>
        <v>H69262</v>
      </c>
      <c r="G281" s="24" t="str">
        <f>'Input - Bookings'!L281</f>
        <v>A7S1</v>
      </c>
      <c r="H281" s="24" t="str">
        <f>'Input - Bookings'!M281</f>
        <v>GP30UX</v>
      </c>
      <c r="I281" s="24" t="str">
        <f>'Input - Bookings'!B281</f>
        <v>USD</v>
      </c>
      <c r="J281" s="13" t="str">
        <f>IF(I281="USD",INDEX('AP Plants'!A:A,MATCH(G281,'AP Plants'!D:D,0)),INDEX('Australia Plants'!A:A,MATCH(G281,'Australia Plants'!D:D,0)))</f>
        <v>Maximal</v>
      </c>
      <c r="K281" s="73">
        <v>1</v>
      </c>
      <c r="L281" s="97">
        <v>21340</v>
      </c>
      <c r="M281" s="97">
        <v>11236.25</v>
      </c>
      <c r="N281" s="99">
        <v>2.0686546684821172E-2</v>
      </c>
      <c r="O281" s="25">
        <f t="shared" si="97"/>
        <v>0.47346532333645741</v>
      </c>
      <c r="P281" s="14">
        <f>IFERROR(IF(OR(B281&amp;C281="PAU",B281&amp;C281="AIN"),VLOOKUP(B281&amp;C281&amp;G281,#REF!,8,0),VLOOKUP(B281&amp;G281,#REF!,8,0)),0)</f>
        <v>0</v>
      </c>
      <c r="Q281" s="15">
        <f t="shared" si="107"/>
        <v>2.0686546684821172E-2</v>
      </c>
      <c r="R281" s="16" t="str">
        <f t="shared" si="108"/>
        <v>AOP</v>
      </c>
      <c r="S281" s="17">
        <f t="shared" si="99"/>
        <v>232.43921018732189</v>
      </c>
      <c r="T281" s="18">
        <f t="shared" si="100"/>
        <v>232.43921018732189</v>
      </c>
      <c r="U281" s="23">
        <f t="shared" si="95"/>
        <v>11236.25</v>
      </c>
      <c r="Y281" s="8" t="str">
        <f t="shared" si="101"/>
        <v>AINH69262GP30UX</v>
      </c>
      <c r="Z281" s="8" t="str">
        <f>IF(Y281='Input - Bookings'!Q278,"OK","Check")</f>
        <v>Check</v>
      </c>
      <c r="AA281" s="139"/>
      <c r="AB281" s="103"/>
      <c r="AC281" s="103"/>
      <c r="AD281" s="100">
        <v>10788.049793934</v>
      </c>
      <c r="AE281" s="100"/>
      <c r="AF281" s="8" t="str">
        <f t="array" ref="AF281">_xlfn.XLOOKUP($G281,'AP Plants'!D:D,'AP Plants'!B:B)</f>
        <v>Class 5 NOT BT</v>
      </c>
      <c r="AG281" s="102"/>
      <c r="AH281" s="102">
        <f t="shared" si="103"/>
        <v>10788.049793934</v>
      </c>
      <c r="AI281" s="44">
        <v>1.4999999999999999E-2</v>
      </c>
      <c r="AJ281" s="15">
        <f>_xlfn.XLOOKUP($AF281,Warranty!B:B,Warranty!E:E)</f>
        <v>5.0000000000000001E-3</v>
      </c>
      <c r="AK281" s="8">
        <f>IF($I281="AUD",VLOOKUP(RIGHT('Wk - Margins'!$G281,3),'AU Freight'!C:G,5,0),0)</f>
        <v>0</v>
      </c>
      <c r="AL281" s="15">
        <f t="shared" si="109"/>
        <v>0</v>
      </c>
      <c r="AM281" s="61">
        <f t="shared" si="102"/>
        <v>11003.810789812678</v>
      </c>
      <c r="AN281" s="63">
        <f t="shared" si="92"/>
        <v>2.0686546684821172E-2</v>
      </c>
      <c r="AQ281" s="147"/>
    </row>
    <row r="282" spans="1:43">
      <c r="A282" s="10" t="str">
        <f>'Input - Bookings'!A282</f>
        <v>10-31</v>
      </c>
      <c r="B282" s="11" t="str">
        <f>'Input - Bookings'!C282</f>
        <v>A</v>
      </c>
      <c r="C282" s="11" t="str">
        <f>'Input - Bookings'!H282</f>
        <v>IN</v>
      </c>
      <c r="D282" s="24" t="str">
        <f>'Input - Bookings'!E282</f>
        <v>067</v>
      </c>
      <c r="E282" s="24" t="str">
        <f>'Input - Bookings'!G282</f>
        <v>ELECTROMECH LIFT TRUCKS</v>
      </c>
      <c r="F282" s="24" t="str">
        <f>'Input - Bookings'!I282</f>
        <v>H69263</v>
      </c>
      <c r="G282" s="24" t="str">
        <f>'Input - Bookings'!L282</f>
        <v>A7S1</v>
      </c>
      <c r="H282" s="24" t="str">
        <f>'Input - Bookings'!M282</f>
        <v>GP30UX</v>
      </c>
      <c r="I282" s="24" t="str">
        <f>'Input - Bookings'!B282</f>
        <v>USD</v>
      </c>
      <c r="J282" s="13" t="str">
        <f>IF(I282="USD",INDEX('AP Plants'!A:A,MATCH(G282,'AP Plants'!D:D,0)),INDEX('Australia Plants'!A:A,MATCH(G282,'Australia Plants'!D:D,0)))</f>
        <v>Maximal</v>
      </c>
      <c r="K282" s="73">
        <v>1</v>
      </c>
      <c r="L282" s="97">
        <v>21340</v>
      </c>
      <c r="M282" s="97">
        <v>11236.25</v>
      </c>
      <c r="N282" s="99">
        <v>2.0686546684821172E-2</v>
      </c>
      <c r="O282" s="25">
        <f t="shared" si="97"/>
        <v>0.47346532333645741</v>
      </c>
      <c r="P282" s="14">
        <f>IFERROR(IF(OR(B282&amp;C282="PAU",B282&amp;C282="AIN"),VLOOKUP(B282&amp;C282&amp;G282,#REF!,8,0),VLOOKUP(B282&amp;G282,#REF!,8,0)),0)</f>
        <v>0</v>
      </c>
      <c r="Q282" s="15">
        <f t="shared" si="107"/>
        <v>2.0686546684821172E-2</v>
      </c>
      <c r="R282" s="16" t="str">
        <f t="shared" si="108"/>
        <v>AOP</v>
      </c>
      <c r="S282" s="17">
        <f t="shared" si="99"/>
        <v>232.43921018732189</v>
      </c>
      <c r="T282" s="18">
        <f t="shared" si="100"/>
        <v>232.43921018732189</v>
      </c>
      <c r="U282" s="23">
        <f t="shared" si="95"/>
        <v>11236.25</v>
      </c>
      <c r="Y282" s="8" t="str">
        <f t="shared" si="101"/>
        <v>AINH69263GP30UX</v>
      </c>
      <c r="Z282" s="8" t="str">
        <f>IF(Y282='Input - Bookings'!Q279,"OK","Check")</f>
        <v>Check</v>
      </c>
      <c r="AA282" s="139"/>
      <c r="AB282" s="103"/>
      <c r="AC282" s="103"/>
      <c r="AD282" s="100">
        <v>10788.049793934</v>
      </c>
      <c r="AE282" s="100"/>
      <c r="AF282" s="8" t="str">
        <f t="array" ref="AF282">_xlfn.XLOOKUP($G282,'AP Plants'!D:D,'AP Plants'!B:B)</f>
        <v>Class 5 NOT BT</v>
      </c>
      <c r="AG282" s="102"/>
      <c r="AH282" s="102">
        <f t="shared" si="103"/>
        <v>10788.049793934</v>
      </c>
      <c r="AI282" s="44">
        <v>1.4999999999999999E-2</v>
      </c>
      <c r="AJ282" s="15">
        <f>_xlfn.XLOOKUP($AF282,Warranty!B:B,Warranty!E:E)</f>
        <v>5.0000000000000001E-3</v>
      </c>
      <c r="AK282" s="8">
        <f>IF($I282="AUD",VLOOKUP(RIGHT('Wk - Margins'!$G282,3),'AU Freight'!C:G,5,0),0)</f>
        <v>0</v>
      </c>
      <c r="AL282" s="15">
        <f t="shared" si="109"/>
        <v>0</v>
      </c>
      <c r="AM282" s="61">
        <f t="shared" si="102"/>
        <v>11003.810789812678</v>
      </c>
      <c r="AN282" s="63">
        <f t="shared" si="92"/>
        <v>2.0686546684821172E-2</v>
      </c>
      <c r="AQ282" s="147"/>
    </row>
    <row r="283" spans="1:43">
      <c r="A283" s="10" t="str">
        <f>'Input - Bookings'!A283</f>
        <v>10-31</v>
      </c>
      <c r="B283" s="11" t="str">
        <f>'Input - Bookings'!C283</f>
        <v>A</v>
      </c>
      <c r="C283" s="11" t="str">
        <f>'Input - Bookings'!H283</f>
        <v>IN</v>
      </c>
      <c r="D283" s="24" t="str">
        <f>'Input - Bookings'!E283</f>
        <v>067</v>
      </c>
      <c r="E283" s="24" t="str">
        <f>'Input - Bookings'!G283</f>
        <v>ELECTROMECH LIFT TRUCKS</v>
      </c>
      <c r="F283" s="24" t="str">
        <f>'Input - Bookings'!I283</f>
        <v>H69301</v>
      </c>
      <c r="G283" s="24" t="str">
        <f>'Input - Bookings'!L283</f>
        <v>A7R3</v>
      </c>
      <c r="H283" s="24" t="str">
        <f>'Input - Bookings'!M283</f>
        <v>MS15XUX</v>
      </c>
      <c r="I283" s="24" t="str">
        <f>'Input - Bookings'!B283</f>
        <v>USD</v>
      </c>
      <c r="J283" s="13" t="str">
        <f>IF(I283="USD",INDEX('AP Plants'!A:A,MATCH(G283,'AP Plants'!D:D,0)),INDEX('Australia Plants'!A:A,MATCH(G283,'Australia Plants'!D:D,0)))</f>
        <v>Ruyi</v>
      </c>
      <c r="K283" s="73">
        <v>1</v>
      </c>
      <c r="L283" s="97">
        <v>10740</v>
      </c>
      <c r="M283" s="97">
        <v>5447.25</v>
      </c>
      <c r="N283" s="99">
        <v>0.16605539202556741</v>
      </c>
      <c r="O283" s="25">
        <f t="shared" si="97"/>
        <v>0.49280726256983243</v>
      </c>
      <c r="P283" s="14">
        <f>IFERROR(IF(OR(B283&amp;C283="PAU",B283&amp;C283="AIN"),VLOOKUP(B283&amp;C283&amp;G283,#REF!,8,0),VLOOKUP(B283&amp;G283,#REF!,8,0)),0)</f>
        <v>0</v>
      </c>
      <c r="Q283" s="15">
        <f t="shared" si="93"/>
        <v>0.16605539202556741</v>
      </c>
      <c r="R283" s="16" t="str">
        <f t="shared" si="98"/>
        <v>AOP</v>
      </c>
      <c r="S283" s="17">
        <f t="shared" si="99"/>
        <v>904.54523421127203</v>
      </c>
      <c r="T283" s="18">
        <f t="shared" si="100"/>
        <v>904.54523421127203</v>
      </c>
      <c r="U283" s="23">
        <f t="shared" si="95"/>
        <v>5447.25</v>
      </c>
      <c r="Y283" s="8" t="str">
        <f t="shared" si="101"/>
        <v>AINH69301MS15XUX</v>
      </c>
      <c r="Z283" s="8" t="str">
        <f>IF(Y283='Input - Bookings'!Q280,"OK","Check")</f>
        <v>Check</v>
      </c>
      <c r="AA283" s="139"/>
      <c r="AB283" s="103"/>
      <c r="AC283" s="103"/>
      <c r="AD283" s="100">
        <v>4410.3929764939112</v>
      </c>
      <c r="AE283" s="100"/>
      <c r="AF283" s="8" t="str">
        <f t="array" ref="AF283">_xlfn.XLOOKUP($G283,'AP Plants'!D:D,'AP Plants'!B:B)</f>
        <v>Class 3</v>
      </c>
      <c r="AG283" s="102"/>
      <c r="AH283" s="102">
        <f t="shared" si="103"/>
        <v>4410.3929764939112</v>
      </c>
      <c r="AI283" s="44">
        <v>1.4999999999999999E-2</v>
      </c>
      <c r="AJ283" s="15">
        <f>_xlfn.XLOOKUP($AF283,Warranty!B:B,Warranty!E:E)</f>
        <v>1.4999999999999999E-2</v>
      </c>
      <c r="AK283" s="8">
        <f>IF($I283="AUD",VLOOKUP(RIGHT('Wk - Margins'!$G283,3),'AU Freight'!C:G,5,0),0)</f>
        <v>0</v>
      </c>
      <c r="AL283" s="15">
        <f t="shared" si="109"/>
        <v>0</v>
      </c>
      <c r="AM283" s="61">
        <f t="shared" si="102"/>
        <v>4542.7047657887279</v>
      </c>
      <c r="AN283" s="63">
        <f t="shared" si="92"/>
        <v>0.16605539202556741</v>
      </c>
      <c r="AQ283" s="147"/>
    </row>
    <row r="284" spans="1:43">
      <c r="A284" s="10" t="str">
        <f>'Input - Bookings'!A284</f>
        <v>10-31</v>
      </c>
      <c r="B284" s="11" t="str">
        <f>'Input - Bookings'!C284</f>
        <v>A</v>
      </c>
      <c r="C284" s="11" t="str">
        <f>'Input - Bookings'!H284</f>
        <v>IN</v>
      </c>
      <c r="D284" s="24" t="str">
        <f>'Input - Bookings'!E284</f>
        <v>067</v>
      </c>
      <c r="E284" s="24" t="str">
        <f>'Input - Bookings'!G284</f>
        <v>ELECTROMECH LIFT TRUCKS</v>
      </c>
      <c r="F284" s="24" t="str">
        <f>'Input - Bookings'!I284</f>
        <v>H69302</v>
      </c>
      <c r="G284" s="24" t="str">
        <f>'Input - Bookings'!L284</f>
        <v>A7R3</v>
      </c>
      <c r="H284" s="24" t="str">
        <f>'Input - Bookings'!M284</f>
        <v>MS15XUX</v>
      </c>
      <c r="I284" s="24" t="str">
        <f>'Input - Bookings'!B284</f>
        <v>USD</v>
      </c>
      <c r="J284" s="13" t="str">
        <f>IF(I284="USD",INDEX('AP Plants'!A:A,MATCH(G284,'AP Plants'!D:D,0)),INDEX('Australia Plants'!A:A,MATCH(G284,'Australia Plants'!D:D,0)))</f>
        <v>Ruyi</v>
      </c>
      <c r="K284" s="73">
        <v>1</v>
      </c>
      <c r="L284" s="97">
        <v>10740</v>
      </c>
      <c r="M284" s="97">
        <v>5447.25</v>
      </c>
      <c r="N284" s="99">
        <v>0.16605539202556741</v>
      </c>
      <c r="O284" s="25">
        <f t="shared" si="97"/>
        <v>0.49280726256983243</v>
      </c>
      <c r="P284" s="14">
        <f>IFERROR(IF(OR(B284&amp;C284="PAU",B284&amp;C284="AIN"),VLOOKUP(B284&amp;C284&amp;G284,#REF!,8,0),VLOOKUP(B284&amp;G284,#REF!,8,0)),0)</f>
        <v>0</v>
      </c>
      <c r="Q284" s="15">
        <f t="shared" si="93"/>
        <v>0.16605539202556741</v>
      </c>
      <c r="R284" s="16" t="str">
        <f t="shared" si="98"/>
        <v>AOP</v>
      </c>
      <c r="S284" s="17">
        <f t="shared" si="99"/>
        <v>904.54523421127203</v>
      </c>
      <c r="T284" s="18">
        <f t="shared" si="100"/>
        <v>904.54523421127203</v>
      </c>
      <c r="U284" s="23">
        <f t="shared" si="95"/>
        <v>5447.25</v>
      </c>
      <c r="Y284" s="8" t="str">
        <f t="shared" si="101"/>
        <v>AINH69302MS15XUX</v>
      </c>
      <c r="Z284" s="8" t="str">
        <f>IF(Y284='Input - Bookings'!Q281,"OK","Check")</f>
        <v>Check</v>
      </c>
      <c r="AA284" s="139"/>
      <c r="AB284" s="103"/>
      <c r="AC284" s="103"/>
      <c r="AD284" s="100">
        <v>4410.3929764939112</v>
      </c>
      <c r="AE284" s="100"/>
      <c r="AF284" s="8" t="str">
        <f t="array" ref="AF284">_xlfn.XLOOKUP($G284,'AP Plants'!D:D,'AP Plants'!B:B)</f>
        <v>Class 3</v>
      </c>
      <c r="AG284" s="102"/>
      <c r="AH284" s="102">
        <f t="shared" si="103"/>
        <v>4410.3929764939112</v>
      </c>
      <c r="AI284" s="44">
        <v>1.4999999999999999E-2</v>
      </c>
      <c r="AJ284" s="15">
        <f>_xlfn.XLOOKUP($AF284,Warranty!B:B,Warranty!E:E)</f>
        <v>1.4999999999999999E-2</v>
      </c>
      <c r="AK284" s="8">
        <f>IF($I284="AUD",VLOOKUP(RIGHT('Wk - Margins'!$G284,3),'AU Freight'!C:G,5,0),0)</f>
        <v>0</v>
      </c>
      <c r="AL284" s="15">
        <f t="shared" si="109"/>
        <v>0</v>
      </c>
      <c r="AM284" s="61">
        <f t="shared" si="102"/>
        <v>4542.7047657887279</v>
      </c>
      <c r="AN284" s="63">
        <f t="shared" si="92"/>
        <v>0.16605539202556741</v>
      </c>
      <c r="AQ284" s="147"/>
    </row>
    <row r="285" spans="1:43">
      <c r="A285" s="10" t="str">
        <f>'Input - Bookings'!A285</f>
        <v>10-31</v>
      </c>
      <c r="B285" s="11" t="str">
        <f>'Input - Bookings'!C285</f>
        <v>A</v>
      </c>
      <c r="C285" s="11" t="str">
        <f>'Input - Bookings'!H285</f>
        <v>IN</v>
      </c>
      <c r="D285" s="24" t="str">
        <f>'Input - Bookings'!E285</f>
        <v>067</v>
      </c>
      <c r="E285" s="24" t="str">
        <f>'Input - Bookings'!G285</f>
        <v>ELECTROMECH LIFT TRUCKS</v>
      </c>
      <c r="F285" s="24" t="str">
        <f>'Input - Bookings'!I285</f>
        <v>H69303</v>
      </c>
      <c r="G285" s="24" t="str">
        <f>'Input - Bookings'!L285</f>
        <v>A7R3</v>
      </c>
      <c r="H285" s="24" t="str">
        <f>'Input - Bookings'!M285</f>
        <v>MS15XUX</v>
      </c>
      <c r="I285" s="24" t="str">
        <f>'Input - Bookings'!B285</f>
        <v>USD</v>
      </c>
      <c r="J285" s="13" t="str">
        <f>IF(I285="USD",INDEX('AP Plants'!A:A,MATCH(G285,'AP Plants'!D:D,0)),INDEX('Australia Plants'!A:A,MATCH(G285,'Australia Plants'!D:D,0)))</f>
        <v>Ruyi</v>
      </c>
      <c r="K285" s="73">
        <v>1</v>
      </c>
      <c r="L285" s="97">
        <v>10740</v>
      </c>
      <c r="M285" s="97">
        <v>5447.25</v>
      </c>
      <c r="N285" s="99">
        <v>0.16605539202556741</v>
      </c>
      <c r="O285" s="25">
        <f t="shared" si="97"/>
        <v>0.49280726256983243</v>
      </c>
      <c r="P285" s="14">
        <f>IFERROR(IF(OR(B285&amp;C285="PAU",B285&amp;C285="AIN"),VLOOKUP(B285&amp;C285&amp;G285,#REF!,8,0),VLOOKUP(B285&amp;G285,#REF!,8,0)),0)</f>
        <v>0</v>
      </c>
      <c r="Q285" s="15">
        <f t="shared" si="93"/>
        <v>0.16605539202556741</v>
      </c>
      <c r="R285" s="16" t="str">
        <f t="shared" si="98"/>
        <v>AOP</v>
      </c>
      <c r="S285" s="17">
        <f t="shared" si="99"/>
        <v>904.54523421127203</v>
      </c>
      <c r="T285" s="18">
        <f t="shared" si="100"/>
        <v>904.54523421127203</v>
      </c>
      <c r="U285" s="23">
        <f t="shared" si="95"/>
        <v>5447.25</v>
      </c>
      <c r="Y285" s="8" t="str">
        <f t="shared" si="101"/>
        <v>AINH69303MS15XUX</v>
      </c>
      <c r="Z285" s="8" t="str">
        <f>IF(Y285='Input - Bookings'!Q282,"OK","Check")</f>
        <v>Check</v>
      </c>
      <c r="AA285" s="139"/>
      <c r="AB285" s="103"/>
      <c r="AC285" s="103"/>
      <c r="AD285" s="100">
        <v>4410.3929764939112</v>
      </c>
      <c r="AE285" s="100"/>
      <c r="AF285" s="8" t="str">
        <f t="array" ref="AF285">_xlfn.XLOOKUP($G285,'AP Plants'!D:D,'AP Plants'!B:B)</f>
        <v>Class 3</v>
      </c>
      <c r="AG285" s="102"/>
      <c r="AH285" s="102">
        <f t="shared" si="103"/>
        <v>4410.3929764939112</v>
      </c>
      <c r="AI285" s="44">
        <v>1.4999999999999999E-2</v>
      </c>
      <c r="AJ285" s="15">
        <f>_xlfn.XLOOKUP($AF285,Warranty!B:B,Warranty!E:E)</f>
        <v>1.4999999999999999E-2</v>
      </c>
      <c r="AK285" s="8">
        <f>IF($I285="AUD",VLOOKUP(RIGHT('Wk - Margins'!$G285,3),'AU Freight'!C:G,5,0),0)</f>
        <v>0</v>
      </c>
      <c r="AL285" s="15">
        <f t="shared" si="109"/>
        <v>0</v>
      </c>
      <c r="AM285" s="61">
        <f t="shared" si="102"/>
        <v>4542.7047657887279</v>
      </c>
      <c r="AN285" s="63">
        <f t="shared" si="92"/>
        <v>0.16605539202556741</v>
      </c>
      <c r="AQ285" s="147"/>
    </row>
    <row r="286" spans="1:43">
      <c r="A286" s="10" t="str">
        <f>'Input - Bookings'!A286</f>
        <v>10-31</v>
      </c>
      <c r="B286" s="11" t="str">
        <f>'Input - Bookings'!C286</f>
        <v>A</v>
      </c>
      <c r="C286" s="11" t="str">
        <f>'Input - Bookings'!H286</f>
        <v>IN</v>
      </c>
      <c r="D286" s="24" t="str">
        <f>'Input - Bookings'!E286</f>
        <v>067</v>
      </c>
      <c r="E286" s="24" t="str">
        <f>'Input - Bookings'!G286</f>
        <v>ELECTROMECH LIFT TRUCKS</v>
      </c>
      <c r="F286" s="24" t="str">
        <f>'Input - Bookings'!I286</f>
        <v>H69304</v>
      </c>
      <c r="G286" s="24" t="str">
        <f>'Input - Bookings'!L286</f>
        <v>A7R3</v>
      </c>
      <c r="H286" s="24" t="str">
        <f>'Input - Bookings'!M286</f>
        <v>MS15XUX</v>
      </c>
      <c r="I286" s="24" t="str">
        <f>'Input - Bookings'!B286</f>
        <v>USD</v>
      </c>
      <c r="J286" s="13" t="str">
        <f>IF(I286="USD",INDEX('AP Plants'!A:A,MATCH(G286,'AP Plants'!D:D,0)),INDEX('Australia Plants'!A:A,MATCH(G286,'Australia Plants'!D:D,0)))</f>
        <v>Ruyi</v>
      </c>
      <c r="K286" s="73">
        <v>1</v>
      </c>
      <c r="L286" s="97">
        <v>10740</v>
      </c>
      <c r="M286" s="97">
        <v>5447.25</v>
      </c>
      <c r="N286" s="99">
        <v>0.16605539202556741</v>
      </c>
      <c r="O286" s="25">
        <f t="shared" si="97"/>
        <v>0.49280726256983243</v>
      </c>
      <c r="P286" s="14">
        <f>IFERROR(IF(OR(B286&amp;C286="PAU",B286&amp;C286="AIN"),VLOOKUP(B286&amp;C286&amp;G286,#REF!,8,0),VLOOKUP(B286&amp;G286,#REF!,8,0)),0)</f>
        <v>0</v>
      </c>
      <c r="Q286" s="15">
        <f t="shared" si="93"/>
        <v>0.16605539202556741</v>
      </c>
      <c r="R286" s="16" t="str">
        <f t="shared" si="98"/>
        <v>AOP</v>
      </c>
      <c r="S286" s="17">
        <f t="shared" si="99"/>
        <v>904.54523421127203</v>
      </c>
      <c r="T286" s="18">
        <f t="shared" si="100"/>
        <v>904.54523421127203</v>
      </c>
      <c r="U286" s="23">
        <f t="shared" si="95"/>
        <v>5447.25</v>
      </c>
      <c r="Y286" s="8" t="str">
        <f t="shared" si="101"/>
        <v>AINH69304MS15XUX</v>
      </c>
      <c r="Z286" s="8" t="str">
        <f>IF(Y286='Input - Bookings'!Q283,"OK","Check")</f>
        <v>Check</v>
      </c>
      <c r="AA286" s="139"/>
      <c r="AB286" s="103"/>
      <c r="AC286" s="103"/>
      <c r="AD286" s="100">
        <v>4410.3929764939112</v>
      </c>
      <c r="AE286" s="98"/>
      <c r="AF286" s="8" t="str">
        <f t="array" ref="AF286">_xlfn.XLOOKUP($G286,'AP Plants'!D:D,'AP Plants'!B:B)</f>
        <v>Class 3</v>
      </c>
      <c r="AG286" s="102"/>
      <c r="AH286" s="102">
        <f t="shared" si="103"/>
        <v>4410.3929764939112</v>
      </c>
      <c r="AI286" s="44">
        <v>1.4999999999999999E-2</v>
      </c>
      <c r="AJ286" s="15">
        <f>_xlfn.XLOOKUP($AF286,Warranty!B:B,Warranty!E:E)</f>
        <v>1.4999999999999999E-2</v>
      </c>
      <c r="AK286" s="8">
        <f>IF($I286="AUD",VLOOKUP(RIGHT('Wk - Margins'!$G286,3),'AU Freight'!C:G,5,0),0)</f>
        <v>0</v>
      </c>
      <c r="AL286" s="15">
        <f t="shared" si="109"/>
        <v>0</v>
      </c>
      <c r="AM286" s="61">
        <f t="shared" si="102"/>
        <v>4542.7047657887279</v>
      </c>
      <c r="AN286" s="63">
        <f t="shared" si="92"/>
        <v>0.16605539202556741</v>
      </c>
      <c r="AQ286" s="147"/>
    </row>
    <row r="287" spans="1:43">
      <c r="A287" s="10" t="str">
        <f>'Input - Bookings'!A287</f>
        <v>10-31</v>
      </c>
      <c r="B287" s="11" t="str">
        <f>'Input - Bookings'!C287</f>
        <v>A</v>
      </c>
      <c r="C287" s="11" t="str">
        <f>'Input - Bookings'!H287</f>
        <v>IN</v>
      </c>
      <c r="D287" s="24" t="str">
        <f>'Input - Bookings'!E287</f>
        <v>067</v>
      </c>
      <c r="E287" s="24" t="str">
        <f>'Input - Bookings'!G287</f>
        <v>ELECTROMECH LIFT TRUCKS</v>
      </c>
      <c r="F287" s="24" t="str">
        <f>'Input - Bookings'!I287</f>
        <v>H69305</v>
      </c>
      <c r="G287" s="24" t="str">
        <f>'Input - Bookings'!L287</f>
        <v>A7R3</v>
      </c>
      <c r="H287" s="24" t="str">
        <f>'Input - Bookings'!M287</f>
        <v>MS15XUX</v>
      </c>
      <c r="I287" s="24" t="str">
        <f>'Input - Bookings'!B287</f>
        <v>USD</v>
      </c>
      <c r="J287" s="13" t="str">
        <f>IF(I287="USD",INDEX('AP Plants'!A:A,MATCH(G287,'AP Plants'!D:D,0)),INDEX('Australia Plants'!A:A,MATCH(G287,'Australia Plants'!D:D,0)))</f>
        <v>Ruyi</v>
      </c>
      <c r="K287" s="73">
        <v>1</v>
      </c>
      <c r="L287" s="97">
        <v>10740</v>
      </c>
      <c r="M287" s="97">
        <v>5447.25</v>
      </c>
      <c r="N287" s="99">
        <v>0.16605539202556741</v>
      </c>
      <c r="O287" s="25">
        <f t="shared" si="97"/>
        <v>0.49280726256983243</v>
      </c>
      <c r="P287" s="14">
        <f>IFERROR(IF(OR(B287&amp;C287="PAU",B287&amp;C287="AIN"),VLOOKUP(B287&amp;C287&amp;G287,#REF!,8,0),VLOOKUP(B287&amp;G287,#REF!,8,0)),0)</f>
        <v>0</v>
      </c>
      <c r="Q287" s="15">
        <f t="shared" si="93"/>
        <v>0.16605539202556741</v>
      </c>
      <c r="R287" s="16" t="str">
        <f t="shared" si="98"/>
        <v>AOP</v>
      </c>
      <c r="S287" s="17">
        <f t="shared" si="99"/>
        <v>904.54523421127203</v>
      </c>
      <c r="T287" s="18">
        <f t="shared" si="100"/>
        <v>904.54523421127203</v>
      </c>
      <c r="U287" s="23">
        <f t="shared" si="95"/>
        <v>5447.25</v>
      </c>
      <c r="Y287" s="8" t="str">
        <f t="shared" si="101"/>
        <v>AINH69305MS15XUX</v>
      </c>
      <c r="Z287" s="8" t="str">
        <f>IF(Y287='Input - Bookings'!Q284,"OK","Check")</f>
        <v>Check</v>
      </c>
      <c r="AA287" s="139"/>
      <c r="AB287" s="103"/>
      <c r="AC287" s="103"/>
      <c r="AD287" s="100">
        <v>4410.3929764939112</v>
      </c>
      <c r="AE287" s="100"/>
      <c r="AF287" s="8" t="str">
        <f t="array" ref="AF287">_xlfn.XLOOKUP($G287,'AP Plants'!D:D,'AP Plants'!B:B)</f>
        <v>Class 3</v>
      </c>
      <c r="AG287" s="102"/>
      <c r="AH287" s="102">
        <f t="shared" si="103"/>
        <v>4410.3929764939112</v>
      </c>
      <c r="AI287" s="44">
        <v>1.4999999999999999E-2</v>
      </c>
      <c r="AJ287" s="15">
        <f>_xlfn.XLOOKUP($AF287,Warranty!B:B,Warranty!E:E)</f>
        <v>1.4999999999999999E-2</v>
      </c>
      <c r="AK287" s="8">
        <f>IF($I287="AUD",VLOOKUP(RIGHT('Wk - Margins'!$G287,3),'AU Freight'!C:G,5,0),0)</f>
        <v>0</v>
      </c>
      <c r="AL287" s="15">
        <f t="shared" si="109"/>
        <v>0</v>
      </c>
      <c r="AM287" s="61">
        <f t="shared" si="102"/>
        <v>4542.7047657887279</v>
      </c>
      <c r="AN287" s="63">
        <f t="shared" si="92"/>
        <v>0.16605539202556741</v>
      </c>
      <c r="AQ287" s="147"/>
    </row>
    <row r="288" spans="1:43">
      <c r="A288" s="10" t="str">
        <f>'Input - Bookings'!A288</f>
        <v>10-31</v>
      </c>
      <c r="B288" s="11" t="str">
        <f>'Input - Bookings'!C288</f>
        <v>A</v>
      </c>
      <c r="C288" s="11" t="str">
        <f>'Input - Bookings'!H288</f>
        <v>IN</v>
      </c>
      <c r="D288" s="24" t="str">
        <f>'Input - Bookings'!E288</f>
        <v>067</v>
      </c>
      <c r="E288" s="24" t="str">
        <f>'Input - Bookings'!G288</f>
        <v>ELECTROMECH LIFT TRUCKS</v>
      </c>
      <c r="F288" s="24" t="str">
        <f>'Input - Bookings'!I288</f>
        <v>H69306</v>
      </c>
      <c r="G288" s="24" t="str">
        <f>'Input - Bookings'!L288</f>
        <v>A7R3</v>
      </c>
      <c r="H288" s="24" t="str">
        <f>'Input - Bookings'!M288</f>
        <v>MS15XUX</v>
      </c>
      <c r="I288" s="24" t="str">
        <f>'Input - Bookings'!B288</f>
        <v>USD</v>
      </c>
      <c r="J288" s="13" t="str">
        <f>IF(I288="USD",INDEX('AP Plants'!A:A,MATCH(G288,'AP Plants'!D:D,0)),INDEX('Australia Plants'!A:A,MATCH(G288,'Australia Plants'!D:D,0)))</f>
        <v>Ruyi</v>
      </c>
      <c r="K288" s="73">
        <v>1</v>
      </c>
      <c r="L288" s="97">
        <v>10740</v>
      </c>
      <c r="M288" s="97">
        <v>5447.25</v>
      </c>
      <c r="N288" s="99">
        <v>0.16605539202556741</v>
      </c>
      <c r="O288" s="25">
        <f t="shared" si="97"/>
        <v>0.49280726256983243</v>
      </c>
      <c r="P288" s="14">
        <f>IFERROR(IF(OR(B288&amp;C288="PAU",B288&amp;C288="AIN"),VLOOKUP(B288&amp;C288&amp;G288,#REF!,8,0),VLOOKUP(B288&amp;G288,#REF!,8,0)),0)</f>
        <v>0</v>
      </c>
      <c r="Q288" s="15">
        <f t="shared" si="93"/>
        <v>0.16605539202556741</v>
      </c>
      <c r="R288" s="16" t="str">
        <f t="shared" si="98"/>
        <v>AOP</v>
      </c>
      <c r="S288" s="17">
        <f t="shared" si="99"/>
        <v>904.54523421127203</v>
      </c>
      <c r="T288" s="18">
        <f t="shared" si="100"/>
        <v>904.54523421127203</v>
      </c>
      <c r="U288" s="23">
        <f t="shared" si="95"/>
        <v>5447.25</v>
      </c>
      <c r="Y288" s="8" t="str">
        <f t="shared" si="101"/>
        <v>AINH69306MS15XUX</v>
      </c>
      <c r="Z288" s="8" t="str">
        <f>IF(Y288='Input - Bookings'!Q285,"OK","Check")</f>
        <v>Check</v>
      </c>
      <c r="AA288" s="139"/>
      <c r="AB288" s="103"/>
      <c r="AC288" s="103"/>
      <c r="AD288" s="100">
        <v>4410.3929764939112</v>
      </c>
      <c r="AE288" s="110"/>
      <c r="AF288" s="8" t="str">
        <f t="array" ref="AF288">_xlfn.XLOOKUP($G288,'AP Plants'!D:D,'AP Plants'!B:B)</f>
        <v>Class 3</v>
      </c>
      <c r="AG288" s="102"/>
      <c r="AH288" s="102">
        <f t="shared" si="103"/>
        <v>4410.3929764939112</v>
      </c>
      <c r="AI288" s="44">
        <v>1.4999999999999999E-2</v>
      </c>
      <c r="AJ288" s="15">
        <f>_xlfn.XLOOKUP($AF288,Warranty!B:B,Warranty!E:E)</f>
        <v>1.4999999999999999E-2</v>
      </c>
      <c r="AK288" s="8">
        <f>IF($I288="AUD",VLOOKUP(RIGHT('Wk - Margins'!$G288,3),'AU Freight'!C:G,5,0),0)</f>
        <v>0</v>
      </c>
      <c r="AL288" s="15">
        <f t="shared" si="109"/>
        <v>0</v>
      </c>
      <c r="AM288" s="61">
        <f t="shared" si="102"/>
        <v>4542.7047657887279</v>
      </c>
      <c r="AN288" s="63">
        <f t="shared" si="92"/>
        <v>0.16605539202556741</v>
      </c>
      <c r="AQ288" s="147"/>
    </row>
    <row r="289" spans="1:43">
      <c r="A289" s="10" t="str">
        <f>'Input - Bookings'!A289</f>
        <v>10-31</v>
      </c>
      <c r="B289" s="11" t="str">
        <f>'Input - Bookings'!C289</f>
        <v>A</v>
      </c>
      <c r="C289" s="11" t="str">
        <f>'Input - Bookings'!H289</f>
        <v>IN</v>
      </c>
      <c r="D289" s="24" t="str">
        <f>'Input - Bookings'!E289</f>
        <v>067</v>
      </c>
      <c r="E289" s="24" t="str">
        <f>'Input - Bookings'!G289</f>
        <v>ELECTROMECH LIFT TRUCKS</v>
      </c>
      <c r="F289" s="24" t="str">
        <f>'Input - Bookings'!I289</f>
        <v>H69307</v>
      </c>
      <c r="G289" s="24" t="str">
        <f>'Input - Bookings'!L289</f>
        <v>A7S3</v>
      </c>
      <c r="H289" s="24" t="str">
        <f>'Input - Bookings'!M289</f>
        <v>MS15UX</v>
      </c>
      <c r="I289" s="24" t="str">
        <f>'Input - Bookings'!B289</f>
        <v>USD</v>
      </c>
      <c r="J289" s="13" t="str">
        <f>IF(I289="USD",INDEX('AP Plants'!A:A,MATCH(G289,'AP Plants'!D:D,0)),INDEX('Australia Plants'!A:A,MATCH(G289,'Australia Plants'!D:D,0)))</f>
        <v>Ruyi</v>
      </c>
      <c r="K289" s="73">
        <v>1</v>
      </c>
      <c r="L289" s="97">
        <v>8215</v>
      </c>
      <c r="M289" s="97">
        <v>4623.3</v>
      </c>
      <c r="N289" s="99">
        <v>0.21865233202525736</v>
      </c>
      <c r="O289" s="25">
        <f t="shared" si="97"/>
        <v>0.43721241631162511</v>
      </c>
      <c r="P289" s="14">
        <f>IFERROR(IF(OR(B289&amp;C289="PAU",B289&amp;C289="AIN"),VLOOKUP(B289&amp;C289&amp;G289,#REF!,8,0),VLOOKUP(B289&amp;G289,#REF!,8,0)),0)</f>
        <v>0</v>
      </c>
      <c r="Q289" s="15">
        <f t="shared" si="93"/>
        <v>0.21865233202525736</v>
      </c>
      <c r="R289" s="16" t="str">
        <f t="shared" si="98"/>
        <v>AOP</v>
      </c>
      <c r="S289" s="17">
        <f t="shared" si="99"/>
        <v>1010.8953266523724</v>
      </c>
      <c r="T289" s="18">
        <f t="shared" si="100"/>
        <v>1010.8953266523724</v>
      </c>
      <c r="U289" s="23">
        <f t="shared" si="95"/>
        <v>4623.3</v>
      </c>
      <c r="Y289" s="8" t="str">
        <f t="shared" si="101"/>
        <v>AINH69307MS15UX</v>
      </c>
      <c r="Z289" s="8" t="str">
        <f>IF(Y289='Input - Bookings'!Q286,"OK","Check")</f>
        <v>Check</v>
      </c>
      <c r="AA289" s="139"/>
      <c r="AB289" s="103"/>
      <c r="AC289" s="103"/>
      <c r="AD289" s="100">
        <v>3507.1890032501251</v>
      </c>
      <c r="AE289" s="100"/>
      <c r="AF289" s="8" t="str">
        <f t="array" ref="AF289">_xlfn.XLOOKUP($G289,'AP Plants'!D:D,'AP Plants'!B:B)</f>
        <v>Class 3</v>
      </c>
      <c r="AG289" s="102"/>
      <c r="AH289" s="102">
        <f t="shared" si="103"/>
        <v>3507.1890032501251</v>
      </c>
      <c r="AI289" s="44">
        <v>1.4999999999999999E-2</v>
      </c>
      <c r="AJ289" s="15">
        <f>_xlfn.XLOOKUP($AF289,Warranty!B:B,Warranty!E:E)</f>
        <v>1.4999999999999999E-2</v>
      </c>
      <c r="AK289" s="8">
        <f>IF($I289="AUD",VLOOKUP(RIGHT('Wk - Margins'!$G289,3),'AU Freight'!C:G,5,0),0)</f>
        <v>0</v>
      </c>
      <c r="AL289" s="15">
        <f t="shared" si="109"/>
        <v>0</v>
      </c>
      <c r="AM289" s="61">
        <f t="shared" si="102"/>
        <v>3612.404673347628</v>
      </c>
      <c r="AN289" s="63">
        <f t="shared" si="92"/>
        <v>0.21865233202525736</v>
      </c>
      <c r="AQ289" s="147"/>
    </row>
    <row r="290" spans="1:43">
      <c r="A290" s="10" t="str">
        <f>'Input - Bookings'!A290</f>
        <v>10-31</v>
      </c>
      <c r="B290" s="11" t="str">
        <f>'Input - Bookings'!C290</f>
        <v>A</v>
      </c>
      <c r="C290" s="11" t="str">
        <f>'Input - Bookings'!H290</f>
        <v>IN</v>
      </c>
      <c r="D290" s="24" t="str">
        <f>'Input - Bookings'!E290</f>
        <v>067</v>
      </c>
      <c r="E290" s="24" t="str">
        <f>'Input - Bookings'!G290</f>
        <v>ELECTROMECH LIFT TRUCKS</v>
      </c>
      <c r="F290" s="24" t="str">
        <f>'Input - Bookings'!I290</f>
        <v>H69308</v>
      </c>
      <c r="G290" s="24" t="str">
        <f>'Input - Bookings'!L290</f>
        <v>A7S3</v>
      </c>
      <c r="H290" s="24" t="str">
        <f>'Input - Bookings'!M290</f>
        <v>MS15UX</v>
      </c>
      <c r="I290" s="24" t="str">
        <f>'Input - Bookings'!B290</f>
        <v>USD</v>
      </c>
      <c r="J290" s="13" t="str">
        <f>IF(I290="USD",INDEX('AP Plants'!A:A,MATCH(G290,'AP Plants'!D:D,0)),INDEX('Australia Plants'!A:A,MATCH(G290,'Australia Plants'!D:D,0)))</f>
        <v>Ruyi</v>
      </c>
      <c r="K290" s="73">
        <v>1</v>
      </c>
      <c r="L290" s="97">
        <v>8215</v>
      </c>
      <c r="M290" s="97">
        <v>4623.3</v>
      </c>
      <c r="N290" s="99">
        <v>0.21865233202525736</v>
      </c>
      <c r="O290" s="25">
        <f t="shared" si="97"/>
        <v>0.43721241631162511</v>
      </c>
      <c r="P290" s="14">
        <f>IFERROR(IF(OR(B290&amp;C290="PAU",B290&amp;C290="AIN"),VLOOKUP(B290&amp;C290&amp;G290,#REF!,8,0),VLOOKUP(B290&amp;G290,#REF!,8,0)),0)</f>
        <v>0</v>
      </c>
      <c r="Q290" s="15">
        <f t="shared" si="93"/>
        <v>0.21865233202525736</v>
      </c>
      <c r="R290" s="16" t="str">
        <f t="shared" si="98"/>
        <v>AOP</v>
      </c>
      <c r="S290" s="17">
        <f t="shared" si="99"/>
        <v>1010.8953266523724</v>
      </c>
      <c r="T290" s="18">
        <f t="shared" si="100"/>
        <v>1010.8953266523724</v>
      </c>
      <c r="U290" s="23">
        <f t="shared" si="95"/>
        <v>4623.3</v>
      </c>
      <c r="Y290" s="8" t="str">
        <f t="shared" si="101"/>
        <v>AINH69308MS15UX</v>
      </c>
      <c r="Z290" s="8" t="str">
        <f>IF(Y290='Input - Bookings'!Q287,"OK","Check")</f>
        <v>Check</v>
      </c>
      <c r="AA290" s="139"/>
      <c r="AB290" s="103"/>
      <c r="AC290" s="103"/>
      <c r="AD290" s="100">
        <v>3507.1890032501251</v>
      </c>
      <c r="AE290" s="100"/>
      <c r="AF290" s="8" t="str">
        <f t="array" ref="AF290">_xlfn.XLOOKUP($G290,'AP Plants'!D:D,'AP Plants'!B:B)</f>
        <v>Class 3</v>
      </c>
      <c r="AG290" s="102"/>
      <c r="AH290" s="102">
        <f t="shared" si="103"/>
        <v>3507.1890032501251</v>
      </c>
      <c r="AI290" s="44">
        <v>1.4999999999999999E-2</v>
      </c>
      <c r="AJ290" s="15">
        <f>_xlfn.XLOOKUP($AF290,Warranty!B:B,Warranty!E:E)</f>
        <v>1.4999999999999999E-2</v>
      </c>
      <c r="AK290" s="8">
        <f>IF($I290="AUD",VLOOKUP(RIGHT('Wk - Margins'!$G290,3),'AU Freight'!C:G,5,0),0)</f>
        <v>0</v>
      </c>
      <c r="AL290" s="15">
        <f t="shared" si="109"/>
        <v>0</v>
      </c>
      <c r="AM290" s="61">
        <f t="shared" si="102"/>
        <v>3612.404673347628</v>
      </c>
      <c r="AN290" s="63">
        <f t="shared" si="92"/>
        <v>0.21865233202525736</v>
      </c>
      <c r="AQ290" s="147"/>
    </row>
    <row r="291" spans="1:43">
      <c r="A291" s="10" t="str">
        <f>'Input - Bookings'!A291</f>
        <v>10-31</v>
      </c>
      <c r="B291" s="11" t="str">
        <f>'Input - Bookings'!C291</f>
        <v>A</v>
      </c>
      <c r="C291" s="11" t="str">
        <f>'Input - Bookings'!H291</f>
        <v>IN</v>
      </c>
      <c r="D291" s="24" t="str">
        <f>'Input - Bookings'!E291</f>
        <v>067</v>
      </c>
      <c r="E291" s="24" t="str">
        <f>'Input - Bookings'!G291</f>
        <v>ELECTROMECH LIFT TRUCKS</v>
      </c>
      <c r="F291" s="24" t="str">
        <f>'Input - Bookings'!I291</f>
        <v>H69309</v>
      </c>
      <c r="G291" s="24" t="str">
        <f>'Input - Bookings'!L291</f>
        <v>A7S3</v>
      </c>
      <c r="H291" s="24" t="str">
        <f>'Input - Bookings'!M291</f>
        <v>MS15UX</v>
      </c>
      <c r="I291" s="24" t="str">
        <f>'Input - Bookings'!B291</f>
        <v>USD</v>
      </c>
      <c r="J291" s="13" t="str">
        <f>IF(I291="USD",INDEX('AP Plants'!A:A,MATCH(G291,'AP Plants'!D:D,0)),INDEX('Australia Plants'!A:A,MATCH(G291,'Australia Plants'!D:D,0)))</f>
        <v>Ruyi</v>
      </c>
      <c r="K291" s="73">
        <v>1</v>
      </c>
      <c r="L291" s="97">
        <v>8215</v>
      </c>
      <c r="M291" s="97">
        <v>4623.3</v>
      </c>
      <c r="N291" s="99">
        <v>0.21865233202525736</v>
      </c>
      <c r="O291" s="25">
        <f t="shared" si="97"/>
        <v>0.43721241631162511</v>
      </c>
      <c r="P291" s="14">
        <f>IFERROR(IF(OR(B291&amp;C291="PAU",B291&amp;C291="AIN"),VLOOKUP(B291&amp;C291&amp;G291,#REF!,8,0),VLOOKUP(B291&amp;G291,#REF!,8,0)),0)</f>
        <v>0</v>
      </c>
      <c r="Q291" s="15">
        <f t="shared" si="93"/>
        <v>0.21865233202525736</v>
      </c>
      <c r="R291" s="16" t="str">
        <f t="shared" si="98"/>
        <v>AOP</v>
      </c>
      <c r="S291" s="17">
        <f t="shared" si="99"/>
        <v>1010.8953266523724</v>
      </c>
      <c r="T291" s="18">
        <f t="shared" si="100"/>
        <v>1010.8953266523724</v>
      </c>
      <c r="U291" s="23">
        <f t="shared" si="95"/>
        <v>4623.3</v>
      </c>
      <c r="Y291" s="8" t="str">
        <f t="shared" si="101"/>
        <v>AINH69309MS15UX</v>
      </c>
      <c r="Z291" s="8" t="str">
        <f>IF(Y291='Input - Bookings'!Q288,"OK","Check")</f>
        <v>Check</v>
      </c>
      <c r="AA291" s="139"/>
      <c r="AB291" s="103"/>
      <c r="AC291" s="103"/>
      <c r="AD291" s="100">
        <v>3507.1890032501251</v>
      </c>
      <c r="AE291" s="100"/>
      <c r="AF291" s="8" t="str">
        <f t="array" ref="AF291">_xlfn.XLOOKUP($G291,'AP Plants'!D:D,'AP Plants'!B:B)</f>
        <v>Class 3</v>
      </c>
      <c r="AG291" s="102"/>
      <c r="AH291" s="102">
        <f t="shared" si="103"/>
        <v>3507.1890032501251</v>
      </c>
      <c r="AI291" s="44">
        <v>1.4999999999999999E-2</v>
      </c>
      <c r="AJ291" s="15">
        <f>_xlfn.XLOOKUP($AF291,Warranty!B:B,Warranty!E:E)</f>
        <v>1.4999999999999999E-2</v>
      </c>
      <c r="AK291" s="8">
        <f>IF($I291="AUD",VLOOKUP(RIGHT('Wk - Margins'!$G291,3),'AU Freight'!C:G,5,0),0)</f>
        <v>0</v>
      </c>
      <c r="AL291" s="15">
        <f t="shared" si="109"/>
        <v>0</v>
      </c>
      <c r="AM291" s="61">
        <f t="shared" si="102"/>
        <v>3612.404673347628</v>
      </c>
      <c r="AN291" s="63">
        <f t="shared" ref="AN291:AN328" si="110">1-AM291/M291</f>
        <v>0.21865233202525736</v>
      </c>
      <c r="AQ291" s="147"/>
    </row>
    <row r="292" spans="1:43">
      <c r="A292" s="10" t="str">
        <f>'Input - Bookings'!A292</f>
        <v>10-31</v>
      </c>
      <c r="B292" s="11" t="str">
        <f>'Input - Bookings'!C292</f>
        <v>A</v>
      </c>
      <c r="C292" s="11" t="str">
        <f>'Input - Bookings'!H292</f>
        <v>IN</v>
      </c>
      <c r="D292" s="24" t="str">
        <f>'Input - Bookings'!E292</f>
        <v>067</v>
      </c>
      <c r="E292" s="24" t="str">
        <f>'Input - Bookings'!G292</f>
        <v>ELECTROMECH LIFT TRUCKS</v>
      </c>
      <c r="F292" s="24" t="str">
        <f>'Input - Bookings'!I292</f>
        <v>H69310</v>
      </c>
      <c r="G292" s="24" t="str">
        <f>'Input - Bookings'!L292</f>
        <v>A7S3</v>
      </c>
      <c r="H292" s="24" t="str">
        <f>'Input - Bookings'!M292</f>
        <v>MS15UX</v>
      </c>
      <c r="I292" s="24" t="str">
        <f>'Input - Bookings'!B292</f>
        <v>USD</v>
      </c>
      <c r="J292" s="13" t="str">
        <f>IF(I292="USD",INDEX('AP Plants'!A:A,MATCH(G292,'AP Plants'!D:D,0)),INDEX('Australia Plants'!A:A,MATCH(G292,'Australia Plants'!D:D,0)))</f>
        <v>Ruyi</v>
      </c>
      <c r="K292" s="73">
        <v>1</v>
      </c>
      <c r="L292" s="97">
        <v>8215</v>
      </c>
      <c r="M292" s="97">
        <v>4623.3</v>
      </c>
      <c r="N292" s="99">
        <v>0.21865233202525736</v>
      </c>
      <c r="O292" s="25">
        <f t="shared" si="97"/>
        <v>0.43721241631162511</v>
      </c>
      <c r="P292" s="14">
        <f>IFERROR(IF(OR(B292&amp;C292="PAU",B292&amp;C292="AIN"),VLOOKUP(B292&amp;C292&amp;G292,#REF!,8,0),VLOOKUP(B292&amp;G292,#REF!,8,0)),0)</f>
        <v>0</v>
      </c>
      <c r="Q292" s="15">
        <f t="shared" si="93"/>
        <v>0.21865233202525736</v>
      </c>
      <c r="R292" s="16" t="str">
        <f t="shared" si="98"/>
        <v>AOP</v>
      </c>
      <c r="S292" s="17">
        <f t="shared" si="99"/>
        <v>1010.8953266523724</v>
      </c>
      <c r="T292" s="18">
        <f t="shared" si="100"/>
        <v>1010.8953266523724</v>
      </c>
      <c r="U292" s="23">
        <f t="shared" si="95"/>
        <v>4623.3</v>
      </c>
      <c r="Y292" s="8" t="str">
        <f t="shared" si="101"/>
        <v>AINH69310MS15UX</v>
      </c>
      <c r="Z292" s="8" t="str">
        <f>IF(Y292='Input - Bookings'!Q289,"OK","Check")</f>
        <v>Check</v>
      </c>
      <c r="AA292" s="139"/>
      <c r="AB292" s="103"/>
      <c r="AC292" s="103"/>
      <c r="AD292" s="100">
        <v>3507.1890032501251</v>
      </c>
      <c r="AE292" s="100"/>
      <c r="AF292" s="8" t="str">
        <f t="array" ref="AF292">_xlfn.XLOOKUP($G292,'AP Plants'!D:D,'AP Plants'!B:B)</f>
        <v>Class 3</v>
      </c>
      <c r="AG292" s="102"/>
      <c r="AH292" s="102">
        <f t="shared" si="103"/>
        <v>3507.1890032501251</v>
      </c>
      <c r="AI292" s="44">
        <v>1.4999999999999999E-2</v>
      </c>
      <c r="AJ292" s="15">
        <f>_xlfn.XLOOKUP($AF292,Warranty!B:B,Warranty!E:E)</f>
        <v>1.4999999999999999E-2</v>
      </c>
      <c r="AK292" s="8">
        <f>IF($I292="AUD",VLOOKUP(RIGHT('Wk - Margins'!$G292,3),'AU Freight'!C:G,5,0),0)</f>
        <v>0</v>
      </c>
      <c r="AL292" s="15">
        <f t="shared" si="109"/>
        <v>0</v>
      </c>
      <c r="AM292" s="61">
        <f t="shared" si="102"/>
        <v>3612.404673347628</v>
      </c>
      <c r="AN292" s="63">
        <f t="shared" si="110"/>
        <v>0.21865233202525736</v>
      </c>
      <c r="AQ292" s="147"/>
    </row>
    <row r="293" spans="1:43">
      <c r="A293" s="10" t="str">
        <f>'Input - Bookings'!A293</f>
        <v>10-31</v>
      </c>
      <c r="B293" s="11" t="str">
        <f>'Input - Bookings'!C293</f>
        <v>A</v>
      </c>
      <c r="C293" s="11" t="str">
        <f>'Input - Bookings'!H293</f>
        <v>IN</v>
      </c>
      <c r="D293" s="24" t="str">
        <f>'Input - Bookings'!E293</f>
        <v>067</v>
      </c>
      <c r="E293" s="24" t="str">
        <f>'Input - Bookings'!G293</f>
        <v>ELECTROMECH LIFT TRUCKS</v>
      </c>
      <c r="F293" s="24" t="str">
        <f>'Input - Bookings'!I293</f>
        <v>H69312</v>
      </c>
      <c r="G293" s="24" t="str">
        <f>'Input - Bookings'!L293</f>
        <v>A7R6</v>
      </c>
      <c r="H293" s="24" t="str">
        <f>'Input - Bookings'!M293</f>
        <v>MSL15WUX</v>
      </c>
      <c r="I293" s="24" t="str">
        <f>'Input - Bookings'!B293</f>
        <v>USD</v>
      </c>
      <c r="J293" s="13" t="str">
        <f>IF(I293="USD",INDEX('AP Plants'!A:A,MATCH(G293,'AP Plants'!D:D,0)),INDEX('Australia Plants'!A:A,MATCH(G293,'Australia Plants'!D:D,0)))</f>
        <v>Ruyi</v>
      </c>
      <c r="K293" s="73">
        <v>1</v>
      </c>
      <c r="L293" s="97">
        <v>8430</v>
      </c>
      <c r="M293" s="97">
        <v>5433.3</v>
      </c>
      <c r="N293" s="99">
        <v>0.27829750317654411</v>
      </c>
      <c r="O293" s="25">
        <f t="shared" si="97"/>
        <v>0.35548042704626337</v>
      </c>
      <c r="P293" s="14">
        <f>IFERROR(IF(OR(B293&amp;C293="PAU",B293&amp;C293="AIN"),VLOOKUP(B293&amp;C293&amp;G293,#REF!,8,0),VLOOKUP(B293&amp;G293,#REF!,8,0)),0)</f>
        <v>0</v>
      </c>
      <c r="Q293" s="15">
        <f t="shared" si="93"/>
        <v>0.27829750317654411</v>
      </c>
      <c r="R293" s="16" t="str">
        <f t="shared" si="98"/>
        <v>AOP</v>
      </c>
      <c r="S293" s="17">
        <f t="shared" si="99"/>
        <v>1512.0738240091173</v>
      </c>
      <c r="T293" s="18">
        <f t="shared" si="100"/>
        <v>1512.0738240091173</v>
      </c>
      <c r="U293" s="23">
        <f t="shared" si="95"/>
        <v>5433.3</v>
      </c>
      <c r="Y293" s="8" t="str">
        <f t="shared" si="101"/>
        <v>AINH69312MSL15WUX</v>
      </c>
      <c r="Z293" s="8" t="str">
        <f>IF(Y293='Input - Bookings'!Q290,"OK","Check")</f>
        <v>Check</v>
      </c>
      <c r="AA293" s="139"/>
      <c r="AB293" s="103"/>
      <c r="AC293" s="103"/>
      <c r="AD293" s="100">
        <v>3807.015704845518</v>
      </c>
      <c r="AE293" s="100"/>
      <c r="AF293" s="8" t="str">
        <f t="array" ref="AF293">_xlfn.XLOOKUP($G293,'AP Plants'!D:D,'AP Plants'!B:B)</f>
        <v>Class 3</v>
      </c>
      <c r="AG293" s="102"/>
      <c r="AH293" s="102">
        <f t="shared" si="103"/>
        <v>3807.015704845518</v>
      </c>
      <c r="AI293" s="44">
        <v>1.4999999999999999E-2</v>
      </c>
      <c r="AJ293" s="15">
        <f>_xlfn.XLOOKUP($AF293,Warranty!B:B,Warranty!E:E)</f>
        <v>1.4999999999999999E-2</v>
      </c>
      <c r="AK293" s="8">
        <f>IF($I293="AUD",VLOOKUP(RIGHT('Wk - Margins'!$G293,3),'AU Freight'!C:G,5,0),0)</f>
        <v>0</v>
      </c>
      <c r="AL293" s="15">
        <f t="shared" si="109"/>
        <v>0</v>
      </c>
      <c r="AM293" s="61">
        <f t="shared" si="102"/>
        <v>3921.2261759908829</v>
      </c>
      <c r="AN293" s="63">
        <f t="shared" si="110"/>
        <v>0.27829750317654411</v>
      </c>
      <c r="AQ293" s="147"/>
    </row>
    <row r="294" spans="1:43">
      <c r="A294" s="10" t="str">
        <f>'Input - Bookings'!A294</f>
        <v>10-31</v>
      </c>
      <c r="B294" s="11" t="str">
        <f>'Input - Bookings'!C294</f>
        <v>A</v>
      </c>
      <c r="C294" s="11" t="str">
        <f>'Input - Bookings'!H294</f>
        <v>IN</v>
      </c>
      <c r="D294" s="24" t="str">
        <f>'Input - Bookings'!E294</f>
        <v>067</v>
      </c>
      <c r="E294" s="24" t="str">
        <f>'Input - Bookings'!G294</f>
        <v>ELECTROMECH LIFT TRUCKS</v>
      </c>
      <c r="F294" s="24" t="str">
        <f>'Input - Bookings'!I294</f>
        <v>H69313</v>
      </c>
      <c r="G294" s="24" t="str">
        <f>'Input - Bookings'!L294</f>
        <v>A7R6</v>
      </c>
      <c r="H294" s="24" t="str">
        <f>'Input - Bookings'!M294</f>
        <v>MSL15WUX</v>
      </c>
      <c r="I294" s="24" t="str">
        <f>'Input - Bookings'!B294</f>
        <v>USD</v>
      </c>
      <c r="J294" s="13" t="str">
        <f>IF(I294="USD",INDEX('AP Plants'!A:A,MATCH(G294,'AP Plants'!D:D,0)),INDEX('Australia Plants'!A:A,MATCH(G294,'Australia Plants'!D:D,0)))</f>
        <v>Ruyi</v>
      </c>
      <c r="K294" s="73">
        <v>1</v>
      </c>
      <c r="L294" s="97">
        <v>8430</v>
      </c>
      <c r="M294" s="97">
        <v>5433.3</v>
      </c>
      <c r="N294" s="99">
        <v>0.27829750317654411</v>
      </c>
      <c r="O294" s="25">
        <f t="shared" si="97"/>
        <v>0.35548042704626337</v>
      </c>
      <c r="P294" s="14">
        <f>IFERROR(IF(OR(B294&amp;C294="PAU",B294&amp;C294="AIN"),VLOOKUP(B294&amp;C294&amp;G294,#REF!,8,0),VLOOKUP(B294&amp;G294,#REF!,8,0)),0)</f>
        <v>0</v>
      </c>
      <c r="Q294" s="15">
        <f t="shared" si="93"/>
        <v>0.27829750317654411</v>
      </c>
      <c r="R294" s="16" t="str">
        <f t="shared" si="98"/>
        <v>AOP</v>
      </c>
      <c r="S294" s="17">
        <f t="shared" si="99"/>
        <v>1512.0738240091173</v>
      </c>
      <c r="T294" s="18">
        <f t="shared" si="100"/>
        <v>1512.0738240091173</v>
      </c>
      <c r="U294" s="23">
        <f t="shared" si="95"/>
        <v>5433.3</v>
      </c>
      <c r="Y294" s="8" t="str">
        <f t="shared" si="101"/>
        <v>AINH69313MSL15WUX</v>
      </c>
      <c r="Z294" s="8" t="str">
        <f>IF(Y294='Input - Bookings'!Q291,"OK","Check")</f>
        <v>Check</v>
      </c>
      <c r="AA294" s="139"/>
      <c r="AB294" s="103"/>
      <c r="AC294" s="103"/>
      <c r="AD294" s="100">
        <v>3807.015704845518</v>
      </c>
      <c r="AE294" s="100"/>
      <c r="AF294" s="8" t="str">
        <f t="array" ref="AF294">_xlfn.XLOOKUP($G294,'AP Plants'!D:D,'AP Plants'!B:B)</f>
        <v>Class 3</v>
      </c>
      <c r="AG294" s="102"/>
      <c r="AH294" s="102">
        <f t="shared" si="103"/>
        <v>3807.015704845518</v>
      </c>
      <c r="AI294" s="44">
        <v>1.4999999999999999E-2</v>
      </c>
      <c r="AJ294" s="15">
        <f>_xlfn.XLOOKUP($AF294,Warranty!B:B,Warranty!E:E)</f>
        <v>1.4999999999999999E-2</v>
      </c>
      <c r="AK294" s="8">
        <f>IF($I294="AUD",VLOOKUP(RIGHT('Wk - Margins'!$G294,3),'AU Freight'!C:G,5,0),0)</f>
        <v>0</v>
      </c>
      <c r="AL294" s="15">
        <f t="shared" si="109"/>
        <v>0</v>
      </c>
      <c r="AM294" s="61">
        <f t="shared" si="102"/>
        <v>3921.2261759908829</v>
      </c>
      <c r="AN294" s="63">
        <f t="shared" si="110"/>
        <v>0.27829750317654411</v>
      </c>
      <c r="AQ294" s="147"/>
    </row>
    <row r="295" spans="1:43">
      <c r="A295" s="10" t="str">
        <f>'Input - Bookings'!A295</f>
        <v>10-31</v>
      </c>
      <c r="B295" s="11" t="str">
        <f>'Input - Bookings'!C295</f>
        <v>A</v>
      </c>
      <c r="C295" s="11" t="str">
        <f>'Input - Bookings'!H295</f>
        <v>TH</v>
      </c>
      <c r="D295" s="24" t="str">
        <f>'Input - Bookings'!E295</f>
        <v>067</v>
      </c>
      <c r="E295" s="24" t="str">
        <f>'Input - Bookings'!G295</f>
        <v>JENBUNJERD CO LTD</v>
      </c>
      <c r="F295" s="24" t="str">
        <f>'Input - Bookings'!I295</f>
        <v>H69253</v>
      </c>
      <c r="G295" s="24" t="str">
        <f>'Input - Bookings'!L295</f>
        <v>A7S1</v>
      </c>
      <c r="H295" s="24" t="str">
        <f>'Input - Bookings'!M295</f>
        <v>GP30UX</v>
      </c>
      <c r="I295" s="24" t="str">
        <f>'Input - Bookings'!B295</f>
        <v>USD</v>
      </c>
      <c r="J295" s="13" t="str">
        <f>IF(I295="USD",INDEX('AP Plants'!A:A,MATCH(G295,'AP Plants'!D:D,0)),INDEX('Australia Plants'!A:A,MATCH(G295,'Australia Plants'!D:D,0)))</f>
        <v>Maximal</v>
      </c>
      <c r="K295" s="73">
        <v>1</v>
      </c>
      <c r="L295" s="97">
        <v>21612</v>
      </c>
      <c r="M295" s="97">
        <v>13064.49</v>
      </c>
      <c r="N295" s="99">
        <v>0.15773131673623098</v>
      </c>
      <c r="O295" s="25">
        <f t="shared" si="97"/>
        <v>0.39549833425874514</v>
      </c>
      <c r="P295" s="14">
        <f>IFERROR(IF(OR(B295&amp;C295="PAU",B295&amp;C295="AIN"),VLOOKUP(B295&amp;C295&amp;G295,#REF!,8,0),VLOOKUP(B295&amp;G295,#REF!,8,0)),0)</f>
        <v>0</v>
      </c>
      <c r="Q295" s="15">
        <f t="shared" si="93"/>
        <v>0.15773131673623098</v>
      </c>
      <c r="R295" s="16" t="str">
        <f t="shared" si="98"/>
        <v>AOP</v>
      </c>
      <c r="S295" s="17">
        <f t="shared" si="99"/>
        <v>2060.679210187322</v>
      </c>
      <c r="T295" s="18">
        <f t="shared" si="100"/>
        <v>2060.679210187322</v>
      </c>
      <c r="U295" s="23">
        <f t="shared" si="95"/>
        <v>13064.49</v>
      </c>
      <c r="Y295" s="8" t="str">
        <f t="shared" si="101"/>
        <v>ATHH69253GP30UX</v>
      </c>
      <c r="Z295" s="8" t="str">
        <f>IF(Y295='Input - Bookings'!Q292,"OK","Check")</f>
        <v>Check</v>
      </c>
      <c r="AA295" s="139"/>
      <c r="AB295" s="103"/>
      <c r="AC295" s="103"/>
      <c r="AD295" s="100">
        <v>10788.049793934</v>
      </c>
      <c r="AE295" s="100"/>
      <c r="AF295" s="8" t="str">
        <f t="array" ref="AF295">_xlfn.XLOOKUP($G295,'AP Plants'!D:D,'AP Plants'!B:B)</f>
        <v>Class 5 NOT BT</v>
      </c>
      <c r="AG295" s="102"/>
      <c r="AH295" s="102">
        <f t="shared" si="103"/>
        <v>10788.049793934</v>
      </c>
      <c r="AI295" s="44">
        <v>1.4999999999999999E-2</v>
      </c>
      <c r="AJ295" s="15">
        <f>_xlfn.XLOOKUP($AF295,Warranty!B:B,Warranty!E:E)</f>
        <v>5.0000000000000001E-3</v>
      </c>
      <c r="AK295" s="8">
        <f>IF($I295="AUD",VLOOKUP(RIGHT('Wk - Margins'!$G295,3),'AU Freight'!C:G,5,0),0)</f>
        <v>0</v>
      </c>
      <c r="AL295" s="15">
        <f t="shared" si="109"/>
        <v>0</v>
      </c>
      <c r="AM295" s="61">
        <f t="shared" si="102"/>
        <v>11003.810789812678</v>
      </c>
      <c r="AN295" s="63">
        <f t="shared" si="110"/>
        <v>0.15773131673623098</v>
      </c>
      <c r="AQ295" s="147"/>
    </row>
    <row r="296" spans="1:43">
      <c r="A296" s="10" t="str">
        <f>'Input - Bookings'!A296</f>
        <v>10-01</v>
      </c>
      <c r="B296" s="11" t="str">
        <f>'Input - Bookings'!C296</f>
        <v>P</v>
      </c>
      <c r="C296" s="11" t="str">
        <f>'Input - Bookings'!H296</f>
        <v>AU</v>
      </c>
      <c r="D296" s="24" t="str">
        <f>'Input - Bookings'!E296</f>
        <v>065</v>
      </c>
      <c r="E296" s="24" t="str">
        <f>'Input - Bookings'!G296</f>
        <v>ADAPT-A-LIFT GROUP (QLD)</v>
      </c>
      <c r="F296" s="24" t="str">
        <f>'Input - Bookings'!I296</f>
        <v>H63745</v>
      </c>
      <c r="G296" s="24" t="str">
        <f>'Input - Bookings'!L296</f>
        <v>D466</v>
      </c>
      <c r="H296" s="24" t="str">
        <f>'Input - Bookings'!M296</f>
        <v>H3.0XT</v>
      </c>
      <c r="I296" s="24" t="str">
        <f>'Input - Bookings'!B296</f>
        <v>AUD</v>
      </c>
      <c r="J296" s="13" t="str">
        <f>IF(I296="USD",INDEX('AP Plants'!A:A,MATCH(G296,'AP Plants'!D:D,0)),INDEX('Australia Plants'!A:A,MATCH(G296,'Australia Plants'!D:D,0)))</f>
        <v>SN</v>
      </c>
      <c r="K296" s="73">
        <v>1</v>
      </c>
      <c r="L296" s="97">
        <v>47770</v>
      </c>
      <c r="M296" s="97">
        <v>39721.424999999996</v>
      </c>
      <c r="N296" s="99">
        <v>0.1700070135437115</v>
      </c>
      <c r="O296" s="25">
        <f t="shared" si="97"/>
        <v>0.16848597446095881</v>
      </c>
      <c r="P296" s="14">
        <f>IFERROR(IF(OR(B296&amp;C296="PAU",B296&amp;C296="AIN"),VLOOKUP(B296&amp;C296&amp;G296,#REF!,8,0),VLOOKUP(B296&amp;G296,#REF!,8,0)),0)</f>
        <v>0</v>
      </c>
      <c r="Q296" s="15">
        <f t="shared" si="93"/>
        <v>0.1700070135437115</v>
      </c>
      <c r="R296" s="16" t="str">
        <f t="shared" si="98"/>
        <v>AOP</v>
      </c>
      <c r="S296" s="17">
        <f t="shared" si="99"/>
        <v>6752.9208379505199</v>
      </c>
      <c r="T296" s="18" t="e">
        <f t="shared" si="100"/>
        <v>#DIV/0!</v>
      </c>
      <c r="U296" s="23" t="e">
        <f t="shared" si="95"/>
        <v>#DIV/0!</v>
      </c>
      <c r="Y296" s="8" t="str">
        <f t="shared" si="101"/>
        <v>PAUH63745H3.0XT</v>
      </c>
      <c r="Z296" s="8" t="str">
        <f>IF(Y296='Input - Bookings'!Q293,"OK","Check")</f>
        <v>Check</v>
      </c>
      <c r="AA296" s="139"/>
      <c r="AB296" s="103"/>
      <c r="AC296" s="103"/>
      <c r="AD296" s="100">
        <v>20302.059904547696</v>
      </c>
      <c r="AE296" s="100"/>
      <c r="AF296" s="8" t="str">
        <f t="array" ref="AF296">_xlfn.XLOOKUP($G296,'AP Plants'!D:D,'AP Plants'!B:B)</f>
        <v>Class 5 NOT BT</v>
      </c>
      <c r="AG296" s="102">
        <f>AD296*'Currency &amp; Conversion'!$L$6</f>
        <v>30233.827609852429</v>
      </c>
      <c r="AH296" s="102"/>
      <c r="AI296" s="44">
        <v>1.4999999999999999E-2</v>
      </c>
      <c r="AJ296" s="15">
        <f>_xlfn.XLOOKUP($AF296,Warranty!B:B,Warranty!E:E)</f>
        <v>5.0000000000000001E-3</v>
      </c>
      <c r="AK296" s="8">
        <f>IF($I296="AUD",VLOOKUP(RIGHT('Wk - Margins'!$G296,3),'AU Freight'!C:G,5,0),0)</f>
        <v>2130</v>
      </c>
      <c r="AL296" s="15">
        <f t="shared" si="109"/>
        <v>0</v>
      </c>
      <c r="AM296" s="61">
        <f t="shared" si="102"/>
        <v>32968.504162049474</v>
      </c>
      <c r="AN296" s="63">
        <f t="shared" si="110"/>
        <v>0.1700070135437115</v>
      </c>
      <c r="AQ296" s="147"/>
    </row>
    <row r="297" spans="1:43">
      <c r="A297" s="10" t="str">
        <f>'Input - Bookings'!A297</f>
        <v>10-05</v>
      </c>
      <c r="B297" s="11" t="str">
        <f>'Input - Bookings'!C297</f>
        <v>P</v>
      </c>
      <c r="C297" s="11" t="str">
        <f>'Input - Bookings'!H297</f>
        <v>AU</v>
      </c>
      <c r="D297" s="24" t="str">
        <f>'Input - Bookings'!E297</f>
        <v>065</v>
      </c>
      <c r="E297" s="24" t="str">
        <f>'Input - Bookings'!G297</f>
        <v>ADAPT-A-LIFT GROUP (VIC)</v>
      </c>
      <c r="F297" s="24" t="str">
        <f>'Input - Bookings'!I297</f>
        <v>H64197</v>
      </c>
      <c r="G297" s="24" t="str">
        <f>'Input - Bookings'!L297</f>
        <v>U005</v>
      </c>
      <c r="H297" s="24" t="str">
        <f>'Input - Bookings'!M297</f>
        <v>H5.5FT</v>
      </c>
      <c r="I297" s="24" t="str">
        <f>'Input - Bookings'!B297</f>
        <v>AUD</v>
      </c>
      <c r="J297" s="13" t="str">
        <f>IF(I297="USD",INDEX('AP Plants'!A:A,MATCH(G297,'AP Plants'!D:D,0)),INDEX('Australia Plants'!A:A,MATCH(G297,'Australia Plants'!D:D,0)))</f>
        <v>Craigavon</v>
      </c>
      <c r="K297" s="73">
        <v>1</v>
      </c>
      <c r="L297" s="97">
        <v>115345</v>
      </c>
      <c r="M297" s="97">
        <v>90806.1</v>
      </c>
      <c r="N297" s="99">
        <v>0.21903428296891958</v>
      </c>
      <c r="O297" s="25">
        <f t="shared" si="97"/>
        <v>0.21274350860462088</v>
      </c>
      <c r="P297" s="14">
        <f>IFERROR(IF(OR(B297&amp;C297="PAU",B297&amp;C297="AIN"),VLOOKUP(B297&amp;C297&amp;G297,#REF!,8,0),VLOOKUP(B297&amp;G297,#REF!,8,0)),0)</f>
        <v>0</v>
      </c>
      <c r="Q297" s="15">
        <f t="shared" si="93"/>
        <v>0.21903428296891958</v>
      </c>
      <c r="R297" s="16" t="str">
        <f t="shared" si="98"/>
        <v>AOP</v>
      </c>
      <c r="S297" s="17">
        <f t="shared" si="99"/>
        <v>19889.649002704009</v>
      </c>
      <c r="T297" s="18" t="e">
        <f t="shared" si="100"/>
        <v>#DIV/0!</v>
      </c>
      <c r="U297" s="23" t="e">
        <f t="shared" si="95"/>
        <v>#DIV/0!</v>
      </c>
      <c r="Y297" s="8" t="str">
        <f t="shared" si="101"/>
        <v>PAUH64197H5.5FT</v>
      </c>
      <c r="Z297" s="8" t="str">
        <f>IF(Y297='Input - Bookings'!Q294,"OK","Check")</f>
        <v>Check</v>
      </c>
      <c r="AA297" s="139"/>
      <c r="AB297" s="103">
        <v>4268.1000000000004</v>
      </c>
      <c r="AC297" s="103">
        <v>0</v>
      </c>
      <c r="AD297" s="100"/>
      <c r="AE297" s="100">
        <v>38417</v>
      </c>
      <c r="AF297" s="8" t="str">
        <f t="array" ref="AF297">_xlfn.XLOOKUP($G297,'AP Plants'!D:D,'AP Plants'!B:B)</f>
        <v>Class 5 NOT BT</v>
      </c>
      <c r="AG297" s="102">
        <f>(AE297*(1+VLOOKUP(J297,'Currency &amp; Conversion'!$F$12:$I$18,2,0))*'Currency &amp; Conversion'!$L$4)+((AB297+AC297)*90%)</f>
        <v>65741.618624800001</v>
      </c>
      <c r="AH297" s="102"/>
      <c r="AI297" s="44">
        <v>1.4999999999999999E-2</v>
      </c>
      <c r="AJ297" s="15">
        <f>_xlfn.XLOOKUP($AF297,Warranty!B:B,Warranty!E:E)</f>
        <v>5.0000000000000001E-3</v>
      </c>
      <c r="AK297" s="8">
        <f>IF($I297="AUD",VLOOKUP(RIGHT('Wk - Margins'!$G297,3),'AU Freight'!C:G,5,0),0)</f>
        <v>3860</v>
      </c>
      <c r="AL297" s="15">
        <f t="shared" si="109"/>
        <v>0</v>
      </c>
      <c r="AM297" s="61">
        <f t="shared" si="102"/>
        <v>70916.450997295993</v>
      </c>
      <c r="AN297" s="63">
        <f t="shared" si="110"/>
        <v>0.21903428296891958</v>
      </c>
      <c r="AQ297" s="147"/>
    </row>
    <row r="298" spans="1:43">
      <c r="A298" s="10" t="str">
        <f>'Input - Bookings'!A298</f>
        <v>10-09</v>
      </c>
      <c r="B298" s="11" t="str">
        <f>'Input - Bookings'!C298</f>
        <v>P</v>
      </c>
      <c r="C298" s="11" t="str">
        <f>'Input - Bookings'!H298</f>
        <v>AU</v>
      </c>
      <c r="D298" s="24" t="str">
        <f>'Input - Bookings'!E298</f>
        <v>065</v>
      </c>
      <c r="E298" s="24" t="str">
        <f>'Input - Bookings'!G298</f>
        <v>ADAPT-A-LIFT GROUP (NSW)</v>
      </c>
      <c r="F298" s="24" t="str">
        <f>'Input - Bookings'!I298</f>
        <v>H64849</v>
      </c>
      <c r="G298" s="24" t="str">
        <f>'Input - Bookings'!L298</f>
        <v>D466</v>
      </c>
      <c r="H298" s="24" t="str">
        <f>'Input - Bookings'!M298</f>
        <v>H3.5XT</v>
      </c>
      <c r="I298" s="24" t="str">
        <f>'Input - Bookings'!B298</f>
        <v>AUD</v>
      </c>
      <c r="J298" s="13" t="str">
        <f>IF(I298="USD",INDEX('AP Plants'!A:A,MATCH(G298,'AP Plants'!D:D,0)),INDEX('Australia Plants'!A:A,MATCH(G298,'Australia Plants'!D:D,0)))</f>
        <v>SN</v>
      </c>
      <c r="K298" s="73">
        <v>1</v>
      </c>
      <c r="L298" s="97">
        <v>44460</v>
      </c>
      <c r="M298" s="97">
        <v>37649.1</v>
      </c>
      <c r="N298" s="99">
        <v>0.15567818716817272</v>
      </c>
      <c r="O298" s="25">
        <f t="shared" si="97"/>
        <v>0.15319163292847504</v>
      </c>
      <c r="P298" s="14">
        <f>IFERROR(IF(OR(B298&amp;C298="PAU",B298&amp;C298="AIN"),VLOOKUP(B298&amp;C298&amp;G298,#REF!,8,0),VLOOKUP(B298&amp;G298,#REF!,8,0)),0)</f>
        <v>0</v>
      </c>
      <c r="Q298" s="15">
        <f t="shared" si="93"/>
        <v>0.15567818716817272</v>
      </c>
      <c r="R298" s="16" t="str">
        <f t="shared" si="98"/>
        <v>AOP</v>
      </c>
      <c r="S298" s="17">
        <f t="shared" si="99"/>
        <v>5861.1436365132513</v>
      </c>
      <c r="T298" s="18" t="e">
        <f t="shared" si="100"/>
        <v>#DIV/0!</v>
      </c>
      <c r="U298" s="23" t="e">
        <f t="shared" si="95"/>
        <v>#DIV/0!</v>
      </c>
      <c r="Y298" s="8" t="str">
        <f t="shared" si="101"/>
        <v>PAUH64849H3.5XT</v>
      </c>
      <c r="Z298" s="8" t="str">
        <f>IF(Y298='Input - Bookings'!Q295,"OK","Check")</f>
        <v>Check</v>
      </c>
      <c r="AA298" s="139"/>
      <c r="AB298" s="103"/>
      <c r="AC298" s="103"/>
      <c r="AD298" s="100">
        <v>19524.864227330079</v>
      </c>
      <c r="AE298" s="100"/>
      <c r="AF298" s="8" t="str">
        <f t="array" ref="AF298">_xlfn.XLOOKUP($G298,'AP Plants'!D:D,'AP Plants'!B:B)</f>
        <v>Class 5 NOT BT</v>
      </c>
      <c r="AG298" s="102">
        <f>AD298*'Currency &amp; Conversion'!$L$6</f>
        <v>29076.427807339955</v>
      </c>
      <c r="AH298" s="102"/>
      <c r="AI298" s="44">
        <v>1.4999999999999999E-2</v>
      </c>
      <c r="AJ298" s="15">
        <f>_xlfn.XLOOKUP($AF298,Warranty!B:B,Warranty!E:E)</f>
        <v>5.0000000000000001E-3</v>
      </c>
      <c r="AK298" s="8">
        <f>IF($I298="AUD",VLOOKUP(RIGHT('Wk - Margins'!$G298,3),'AU Freight'!C:G,5,0),0)</f>
        <v>2130</v>
      </c>
      <c r="AL298" s="15">
        <f t="shared" si="109"/>
        <v>0</v>
      </c>
      <c r="AM298" s="61">
        <f t="shared" si="102"/>
        <v>31787.956363486748</v>
      </c>
      <c r="AN298" s="63">
        <f t="shared" si="110"/>
        <v>0.15567818716817272</v>
      </c>
      <c r="AQ298" s="147"/>
    </row>
    <row r="299" spans="1:43">
      <c r="A299" s="10" t="str">
        <f>'Input - Bookings'!A299</f>
        <v>10-09</v>
      </c>
      <c r="B299" s="11" t="str">
        <f>'Input - Bookings'!C299</f>
        <v>P</v>
      </c>
      <c r="C299" s="11" t="str">
        <f>'Input - Bookings'!H299</f>
        <v>AU</v>
      </c>
      <c r="D299" s="24" t="str">
        <f>'Input - Bookings'!E299</f>
        <v>065</v>
      </c>
      <c r="E299" s="24" t="str">
        <f>'Input - Bookings'!G299</f>
        <v>ADAPT-A-LIFT GROUP (VIC)</v>
      </c>
      <c r="F299" s="24" t="str">
        <f>'Input - Bookings'!I299</f>
        <v>H64840</v>
      </c>
      <c r="G299" s="24" t="str">
        <f>'Input - Bookings'!L299</f>
        <v>A406</v>
      </c>
      <c r="H299" s="24" t="str">
        <f>'Input - Bookings'!M299</f>
        <v>R1.6 406</v>
      </c>
      <c r="I299" s="24" t="str">
        <f>'Input - Bookings'!B299</f>
        <v>AUD</v>
      </c>
      <c r="J299" s="13" t="str">
        <f>IF(I299="USD",INDEX('AP Plants'!A:A,MATCH(G299,'AP Plants'!D:D,0)),INDEX('Australia Plants'!A:A,MATCH(G299,'Australia Plants'!D:D,0)))</f>
        <v>Maximal</v>
      </c>
      <c r="K299" s="73">
        <v>1</v>
      </c>
      <c r="L299" s="97">
        <v>49611</v>
      </c>
      <c r="M299" s="97">
        <v>33019.025000000001</v>
      </c>
      <c r="N299" s="99">
        <v>5.9961351708174737E-2</v>
      </c>
      <c r="O299" s="25">
        <f t="shared" si="97"/>
        <v>0.33444145451613549</v>
      </c>
      <c r="P299" s="14">
        <f>IFERROR(IF(OR(B299&amp;C299="PAU",B299&amp;C299="AIN"),VLOOKUP(B299&amp;C299&amp;G299,#REF!,8,0),VLOOKUP(B299&amp;G299,#REF!,8,0)),0)</f>
        <v>0</v>
      </c>
      <c r="Q299" s="15">
        <f t="shared" si="93"/>
        <v>5.9961351708174737E-2</v>
      </c>
      <c r="R299" s="16" t="str">
        <f t="shared" si="98"/>
        <v>AOP</v>
      </c>
      <c r="S299" s="17">
        <f t="shared" si="99"/>
        <v>1979.8653710860144</v>
      </c>
      <c r="T299" s="18" t="e">
        <f t="shared" si="100"/>
        <v>#DIV/0!</v>
      </c>
      <c r="U299" s="23" t="e">
        <f t="shared" si="95"/>
        <v>#DIV/0!</v>
      </c>
      <c r="Y299" s="8" t="str">
        <f t="shared" si="101"/>
        <v>PAUH64840R1.6 406</v>
      </c>
      <c r="Z299" s="8" t="str">
        <f>IF(Y299='Input - Bookings'!Q296,"OK","Check")</f>
        <v>Check</v>
      </c>
      <c r="AA299" s="139"/>
      <c r="AB299" s="103"/>
      <c r="AC299" s="103"/>
      <c r="AD299" s="100">
        <v>18931.882126660817</v>
      </c>
      <c r="AE299" s="100"/>
      <c r="AF299" s="8" t="str">
        <f t="array" ref="AF299">_xlfn.XLOOKUP($G299,'AP Plants'!D:D,'AP Plants'!B:B)</f>
        <v>Class 2</v>
      </c>
      <c r="AG299" s="102">
        <f>AD299*'Currency &amp; Conversion'!$L$6</f>
        <v>28193.358863023292</v>
      </c>
      <c r="AH299" s="102"/>
      <c r="AI299" s="44">
        <v>1.4999999999999999E-2</v>
      </c>
      <c r="AJ299" s="15">
        <f>_xlfn.XLOOKUP($AF299,Warranty!B:B,Warranty!E:E)</f>
        <v>1.4999999999999999E-2</v>
      </c>
      <c r="AK299" s="8">
        <f>IF($I299="AUD",VLOOKUP(RIGHT('Wk - Margins'!$G299,3),'AU Freight'!C:G,5,0),0)</f>
        <v>2000</v>
      </c>
      <c r="AL299" s="15">
        <f t="shared" si="109"/>
        <v>0</v>
      </c>
      <c r="AM299" s="61">
        <f t="shared" si="102"/>
        <v>31039.159628913985</v>
      </c>
      <c r="AN299" s="63">
        <f t="shared" si="110"/>
        <v>5.9961351708174737E-2</v>
      </c>
      <c r="AQ299" s="147"/>
    </row>
    <row r="300" spans="1:43">
      <c r="A300" s="10" t="str">
        <f>'Input - Bookings'!A300</f>
        <v>10-09</v>
      </c>
      <c r="B300" s="11" t="str">
        <f>'Input - Bookings'!C300</f>
        <v>P</v>
      </c>
      <c r="C300" s="11" t="str">
        <f>'Input - Bookings'!H300</f>
        <v>AU</v>
      </c>
      <c r="D300" s="24" t="str">
        <f>'Input - Bookings'!E300</f>
        <v>065</v>
      </c>
      <c r="E300" s="24" t="str">
        <f>'Input - Bookings'!G300</f>
        <v>ADAPT-A-LIFT GROUP (NSW)</v>
      </c>
      <c r="F300" s="24" t="str">
        <f>'Input - Bookings'!I300</f>
        <v>H64848</v>
      </c>
      <c r="G300" s="24" t="str">
        <f>'Input - Bookings'!L300</f>
        <v>A3C5</v>
      </c>
      <c r="H300" s="24" t="str">
        <f>'Input - Bookings'!M300</f>
        <v>J1.8UTT</v>
      </c>
      <c r="I300" s="24" t="str">
        <f>'Input - Bookings'!B300</f>
        <v>AUD</v>
      </c>
      <c r="J300" s="13" t="str">
        <f>IF(I300="USD",INDEX('AP Plants'!A:A,MATCH(G300,'AP Plants'!D:D,0)),INDEX('Australia Plants'!A:A,MATCH(G300,'Australia Plants'!D:D,0)))</f>
        <v>Maximal</v>
      </c>
      <c r="K300" s="73">
        <v>1</v>
      </c>
      <c r="L300" s="97">
        <v>30020</v>
      </c>
      <c r="M300" s="97">
        <v>23131.599999999999</v>
      </c>
      <c r="N300" s="99">
        <v>0.17052267041055258</v>
      </c>
      <c r="O300" s="25">
        <f t="shared" si="97"/>
        <v>0.22946035976015999</v>
      </c>
      <c r="P300" s="14">
        <f>IFERROR(IF(OR(B300&amp;C300="PAU",B300&amp;C300="AIN"),VLOOKUP(B300&amp;C300&amp;G300,#REF!,8,0),VLOOKUP(B300&amp;G300,#REF!,8,0)),0)</f>
        <v>0</v>
      </c>
      <c r="Q300" s="15">
        <f t="shared" si="93"/>
        <v>0.17052267041055258</v>
      </c>
      <c r="R300" s="16" t="str">
        <f t="shared" si="98"/>
        <v>AOP</v>
      </c>
      <c r="S300" s="17">
        <f t="shared" si="99"/>
        <v>3944.4622028687377</v>
      </c>
      <c r="T300" s="18" t="e">
        <f t="shared" si="100"/>
        <v>#DIV/0!</v>
      </c>
      <c r="U300" s="23" t="e">
        <f t="shared" si="95"/>
        <v>#DIV/0!</v>
      </c>
      <c r="Y300" s="8" t="str">
        <f t="shared" si="101"/>
        <v>PAUH64848J1.8UTT</v>
      </c>
      <c r="Z300" s="8" t="str">
        <f>IF(Y300='Input - Bookings'!Q297,"OK","Check")</f>
        <v>Check</v>
      </c>
      <c r="AA300" s="139"/>
      <c r="AB300" s="103"/>
      <c r="AC300" s="103"/>
      <c r="AD300" s="100">
        <v>11314.890609204089</v>
      </c>
      <c r="AE300" s="100"/>
      <c r="AF300" s="8" t="str">
        <f t="array" ref="AF300">_xlfn.XLOOKUP($G300,'AP Plants'!D:D,'AP Plants'!B:B)</f>
        <v>Class 1</v>
      </c>
      <c r="AG300" s="102">
        <f>AD300*'Currency &amp; Conversion'!$L$6</f>
        <v>16850.135095226731</v>
      </c>
      <c r="AH300" s="102"/>
      <c r="AI300" s="44">
        <v>1.4999999999999999E-2</v>
      </c>
      <c r="AJ300" s="15">
        <f>_xlfn.XLOOKUP($AF300,Warranty!B:B,Warranty!E:E)</f>
        <v>5.0000000000000001E-3</v>
      </c>
      <c r="AK300" s="8">
        <f>IF($I300="AUD",VLOOKUP(RIGHT('Wk - Margins'!$G300,3),'AU Freight'!C:G,5,0),0)</f>
        <v>2000</v>
      </c>
      <c r="AL300" s="15">
        <f t="shared" si="109"/>
        <v>0</v>
      </c>
      <c r="AM300" s="61">
        <f t="shared" si="102"/>
        <v>19187.137797131261</v>
      </c>
      <c r="AN300" s="63">
        <f t="shared" si="110"/>
        <v>0.17052267041055258</v>
      </c>
      <c r="AQ300" s="147"/>
    </row>
    <row r="301" spans="1:43">
      <c r="A301" s="10" t="str">
        <f>'Input - Bookings'!A301</f>
        <v>10-10</v>
      </c>
      <c r="B301" s="11" t="str">
        <f>'Input - Bookings'!C301</f>
        <v>P</v>
      </c>
      <c r="C301" s="11" t="str">
        <f>'Input - Bookings'!H301</f>
        <v>AU</v>
      </c>
      <c r="D301" s="24" t="str">
        <f>'Input - Bookings'!E301</f>
        <v>067</v>
      </c>
      <c r="E301" s="24" t="str">
        <f>'Input - Bookings'!G301</f>
        <v>ADAPT-A-LIFT GROUP(NSW)</v>
      </c>
      <c r="F301" s="24" t="str">
        <f>'Input - Bookings'!I301</f>
        <v>H65375</v>
      </c>
      <c r="G301" s="24" t="str">
        <f>'Input - Bookings'!L301</f>
        <v>K813</v>
      </c>
      <c r="H301" s="24" t="str">
        <f>'Input - Bookings'!M301</f>
        <v>GP50VX</v>
      </c>
      <c r="I301" s="24" t="str">
        <f>'Input - Bookings'!B301</f>
        <v>AUD</v>
      </c>
      <c r="J301" s="13" t="str">
        <f>IF(I301="USD",INDEX('AP Plants'!A:A,MATCH(G301,'AP Plants'!D:D,0)),INDEX('Australia Plants'!A:A,MATCH(G301,'Australia Plants'!D:D,0)))</f>
        <v>Craigavon</v>
      </c>
      <c r="K301" s="73">
        <v>1</v>
      </c>
      <c r="L301" s="97">
        <v>100330</v>
      </c>
      <c r="M301" s="97">
        <v>75662.399999999994</v>
      </c>
      <c r="N301" s="99">
        <v>0.18322370448731418</v>
      </c>
      <c r="O301" s="25">
        <f t="shared" si="97"/>
        <v>0.24586464666600227</v>
      </c>
      <c r="P301" s="14">
        <f>IFERROR(IF(OR(B301&amp;C301="PAU",B301&amp;C301="AIN"),VLOOKUP(B301&amp;C301&amp;G301,#REF!,8,0),VLOOKUP(B301&amp;G301,#REF!,8,0)),0)</f>
        <v>0</v>
      </c>
      <c r="Q301" s="15">
        <f t="shared" si="93"/>
        <v>0.18322370448731418</v>
      </c>
      <c r="R301" s="16" t="str">
        <f t="shared" si="98"/>
        <v>AOP</v>
      </c>
      <c r="S301" s="17">
        <f t="shared" si="99"/>
        <v>13863.145218400959</v>
      </c>
      <c r="T301" s="18" t="e">
        <f t="shared" si="100"/>
        <v>#DIV/0!</v>
      </c>
      <c r="U301" s="23" t="e">
        <f t="shared" si="95"/>
        <v>#DIV/0!</v>
      </c>
      <c r="Y301" s="8" t="str">
        <f t="shared" si="101"/>
        <v>PAUH65375GP50VX</v>
      </c>
      <c r="Z301" s="8" t="str">
        <f>IF(Y301='Input - Bookings'!Q298,"OK","Check")</f>
        <v>Check</v>
      </c>
      <c r="AA301" s="139"/>
      <c r="AB301" s="103">
        <v>0</v>
      </c>
      <c r="AC301" s="103">
        <v>0</v>
      </c>
      <c r="AD301" s="100"/>
      <c r="AE301" s="100">
        <v>35253.58</v>
      </c>
      <c r="AF301" s="8" t="str">
        <f t="array" ref="AF301">_xlfn.XLOOKUP($G301,'AP Plants'!D:D,'AP Plants'!B:B)</f>
        <v>Class 5 NOT BT</v>
      </c>
      <c r="AG301" s="102">
        <f>(AE301*(1+VLOOKUP(J301,'Currency &amp; Conversion'!$F$12:$I$18,2,0))*'Currency &amp; Conversion'!$L$4)+((AB301+AC301)*90%)</f>
        <v>56803.190962352004</v>
      </c>
      <c r="AH301" s="102"/>
      <c r="AI301" s="44">
        <v>1.4999999999999999E-2</v>
      </c>
      <c r="AJ301" s="15">
        <f>_xlfn.XLOOKUP($AF301,Warranty!B:B,Warranty!E:E)</f>
        <v>5.0000000000000001E-3</v>
      </c>
      <c r="AK301" s="8">
        <f>IF($I301="AUD",VLOOKUP(RIGHT('Wk - Margins'!$G301,3),'AU Freight'!C:G,5,0),0)</f>
        <v>3860</v>
      </c>
      <c r="AL301" s="15">
        <f t="shared" si="109"/>
        <v>0</v>
      </c>
      <c r="AM301" s="61">
        <f t="shared" si="102"/>
        <v>61799.254781599033</v>
      </c>
      <c r="AN301" s="63">
        <f t="shared" si="110"/>
        <v>0.18322370448731418</v>
      </c>
      <c r="AQ301" s="147"/>
    </row>
    <row r="302" spans="1:43">
      <c r="A302" s="10" t="str">
        <f>'Input - Bookings'!A302</f>
        <v>10-10</v>
      </c>
      <c r="B302" s="11" t="str">
        <f>'Input - Bookings'!C302</f>
        <v>P</v>
      </c>
      <c r="C302" s="11" t="str">
        <f>'Input - Bookings'!H302</f>
        <v>AU</v>
      </c>
      <c r="D302" s="24" t="str">
        <f>'Input - Bookings'!E302</f>
        <v>067</v>
      </c>
      <c r="E302" s="24" t="str">
        <f>'Input - Bookings'!G302</f>
        <v>ADAPT-A-LIFT GROUP(NSW)</v>
      </c>
      <c r="F302" s="24" t="str">
        <f>'Input - Bookings'!I302</f>
        <v>H65376</v>
      </c>
      <c r="G302" s="24" t="str">
        <f>'Input - Bookings'!L302</f>
        <v>K813</v>
      </c>
      <c r="H302" s="24" t="str">
        <f>'Input - Bookings'!M302</f>
        <v>GP50VX</v>
      </c>
      <c r="I302" s="24" t="str">
        <f>'Input - Bookings'!B302</f>
        <v>AUD</v>
      </c>
      <c r="J302" s="13" t="str">
        <f>IF(I302="USD",INDEX('AP Plants'!A:A,MATCH(G302,'AP Plants'!D:D,0)),INDEX('Australia Plants'!A:A,MATCH(G302,'Australia Plants'!D:D,0)))</f>
        <v>Craigavon</v>
      </c>
      <c r="K302" s="73">
        <v>1</v>
      </c>
      <c r="L302" s="97">
        <v>100330</v>
      </c>
      <c r="M302" s="97">
        <v>75662.399999999994</v>
      </c>
      <c r="N302" s="99">
        <v>0.18322370448731418</v>
      </c>
      <c r="O302" s="25">
        <f t="shared" si="97"/>
        <v>0.24586464666600227</v>
      </c>
      <c r="P302" s="14">
        <f>IFERROR(IF(OR(B302&amp;C302="PAU",B302&amp;C302="AIN"),VLOOKUP(B302&amp;C302&amp;G302,#REF!,8,0),VLOOKUP(B302&amp;G302,#REF!,8,0)),0)</f>
        <v>0</v>
      </c>
      <c r="Q302" s="15">
        <f t="shared" si="93"/>
        <v>0.18322370448731418</v>
      </c>
      <c r="R302" s="16" t="str">
        <f t="shared" si="98"/>
        <v>AOP</v>
      </c>
      <c r="S302" s="17">
        <f t="shared" si="99"/>
        <v>13863.145218400959</v>
      </c>
      <c r="T302" s="18" t="e">
        <f t="shared" si="100"/>
        <v>#DIV/0!</v>
      </c>
      <c r="U302" s="23" t="e">
        <f t="shared" si="95"/>
        <v>#DIV/0!</v>
      </c>
      <c r="Y302" s="8" t="str">
        <f t="shared" si="101"/>
        <v>PAUH65376GP50VX</v>
      </c>
      <c r="Z302" s="8" t="str">
        <f>IF(Y302='Input - Bookings'!Q299,"OK","Check")</f>
        <v>Check</v>
      </c>
      <c r="AA302" s="139"/>
      <c r="AB302" s="103">
        <v>0</v>
      </c>
      <c r="AC302" s="103">
        <v>0</v>
      </c>
      <c r="AD302" s="100"/>
      <c r="AE302" s="100">
        <v>35253.58</v>
      </c>
      <c r="AF302" s="8" t="str">
        <f t="array" ref="AF302">_xlfn.XLOOKUP($G302,'AP Plants'!D:D,'AP Plants'!B:B)</f>
        <v>Class 5 NOT BT</v>
      </c>
      <c r="AG302" s="102">
        <f>(AE302*(1+VLOOKUP(J302,'Currency &amp; Conversion'!$F$12:$I$18,2,0))*'Currency &amp; Conversion'!$L$4)+((AB302+AC302)*90%)</f>
        <v>56803.190962352004</v>
      </c>
      <c r="AH302" s="102"/>
      <c r="AI302" s="44">
        <v>1.4999999999999999E-2</v>
      </c>
      <c r="AJ302" s="15">
        <f>_xlfn.XLOOKUP($AF302,Warranty!B:B,Warranty!E:E)</f>
        <v>5.0000000000000001E-3</v>
      </c>
      <c r="AK302" s="8">
        <f>IF($I302="AUD",VLOOKUP(RIGHT('Wk - Margins'!$G302,3),'AU Freight'!C:G,5,0),0)</f>
        <v>3860</v>
      </c>
      <c r="AL302" s="15">
        <f t="shared" si="109"/>
        <v>0</v>
      </c>
      <c r="AM302" s="61">
        <f t="shared" si="102"/>
        <v>61799.254781599033</v>
      </c>
      <c r="AN302" s="63">
        <f t="shared" si="110"/>
        <v>0.18322370448731418</v>
      </c>
      <c r="AQ302" s="147"/>
    </row>
    <row r="303" spans="1:43">
      <c r="A303" s="10" t="str">
        <f>'Input - Bookings'!A303</f>
        <v>10-11</v>
      </c>
      <c r="B303" s="11" t="str">
        <f>'Input - Bookings'!C303</f>
        <v>P</v>
      </c>
      <c r="C303" s="11" t="str">
        <f>'Input - Bookings'!H303</f>
        <v>AU</v>
      </c>
      <c r="D303" s="24" t="str">
        <f>'Input - Bookings'!E303</f>
        <v>067</v>
      </c>
      <c r="E303" s="24" t="str">
        <f>'Input - Bookings'!G303</f>
        <v>SOUTH QUEENSLAND HANDLING</v>
      </c>
      <c r="F303" s="24" t="str">
        <f>'Input - Bookings'!I303</f>
        <v>H65535</v>
      </c>
      <c r="G303" s="24" t="str">
        <f>'Input - Bookings'!L303</f>
        <v>E812</v>
      </c>
      <c r="H303" s="24" t="str">
        <f>'Input - Bookings'!M303</f>
        <v>GP20SMX</v>
      </c>
      <c r="I303" s="24" t="str">
        <f>'Input - Bookings'!B303</f>
        <v>AUD</v>
      </c>
      <c r="J303" s="13" t="str">
        <f>IF(I303="USD",INDEX('AP Plants'!A:A,MATCH(G303,'AP Plants'!D:D,0)),INDEX('Australia Plants'!A:A,MATCH(G303,'Australia Plants'!D:D,0)))</f>
        <v>SN</v>
      </c>
      <c r="K303" s="73">
        <v>1</v>
      </c>
      <c r="L303" s="97">
        <v>34475</v>
      </c>
      <c r="M303" s="97">
        <v>27791.4</v>
      </c>
      <c r="N303" s="99">
        <v>0.13174509653512179</v>
      </c>
      <c r="O303" s="25">
        <f t="shared" si="97"/>
        <v>0.19386802030456851</v>
      </c>
      <c r="P303" s="14">
        <f>IFERROR(IF(OR(B303&amp;C303="PAU",B303&amp;C303="AIN"),VLOOKUP(B303&amp;C303&amp;G303,#REF!,8,0),VLOOKUP(B303&amp;G303,#REF!,8,0)),0)</f>
        <v>0</v>
      </c>
      <c r="Q303" s="15">
        <f t="shared" si="93"/>
        <v>0.13174509653512179</v>
      </c>
      <c r="R303" s="16" t="str">
        <f t="shared" si="98"/>
        <v>AOP</v>
      </c>
      <c r="S303" s="17">
        <f t="shared" si="99"/>
        <v>3661.3806758461837</v>
      </c>
      <c r="T303" s="18" t="e">
        <f t="shared" si="100"/>
        <v>#DIV/0!</v>
      </c>
      <c r="U303" s="23" t="e">
        <f t="shared" si="95"/>
        <v>#DIV/0!</v>
      </c>
      <c r="Y303" s="8" t="str">
        <f t="shared" si="101"/>
        <v>PAUH65535GP20SMX</v>
      </c>
      <c r="Z303" s="8" t="str">
        <f>IF(Y303='Input - Bookings'!Q300,"OK","Check")</f>
        <v>Check</v>
      </c>
      <c r="AA303" s="139"/>
      <c r="AB303" s="103"/>
      <c r="AC303" s="103"/>
      <c r="AD303" s="100">
        <v>14486.669592407703</v>
      </c>
      <c r="AE303" s="110"/>
      <c r="AF303" s="8" t="str">
        <f t="array" ref="AF303">_xlfn.XLOOKUP($G303,'AP Plants'!D:D,'AP Plants'!B:B)</f>
        <v>Class 5 NOT BT</v>
      </c>
      <c r="AG303" s="102">
        <f>AD303*'Currency &amp; Conversion'!$L$6</f>
        <v>21573.548357013551</v>
      </c>
      <c r="AH303" s="102"/>
      <c r="AI303" s="44">
        <v>1.4999999999999999E-2</v>
      </c>
      <c r="AJ303" s="15">
        <f>_xlfn.XLOOKUP($AF303,Warranty!B:B,Warranty!E:E)</f>
        <v>5.0000000000000001E-3</v>
      </c>
      <c r="AK303" s="8">
        <f>IF($I303="AUD",VLOOKUP(RIGHT('Wk - Margins'!$G303,3),'AU Freight'!C:G,5,0),0)</f>
        <v>2125</v>
      </c>
      <c r="AL303" s="15">
        <f t="shared" si="109"/>
        <v>0</v>
      </c>
      <c r="AM303" s="61">
        <f t="shared" si="102"/>
        <v>24130.019324153818</v>
      </c>
      <c r="AN303" s="63">
        <f t="shared" si="110"/>
        <v>0.13174509653512179</v>
      </c>
      <c r="AQ303" s="147"/>
    </row>
    <row r="304" spans="1:43">
      <c r="A304" s="10" t="str">
        <f>'Input - Bookings'!A304</f>
        <v>10-11</v>
      </c>
      <c r="B304" s="11" t="str">
        <f>'Input - Bookings'!C304</f>
        <v>P</v>
      </c>
      <c r="C304" s="11" t="str">
        <f>'Input - Bookings'!H304</f>
        <v>AU</v>
      </c>
      <c r="D304" s="24" t="str">
        <f>'Input - Bookings'!E304</f>
        <v>067</v>
      </c>
      <c r="E304" s="24" t="str">
        <f>'Input - Bookings'!G304</f>
        <v>SOUTH QUEENSLAND HANDLING</v>
      </c>
      <c r="F304" s="24" t="str">
        <f>'Input - Bookings'!I304</f>
        <v>H65536</v>
      </c>
      <c r="G304" s="24" t="str">
        <f>'Input - Bookings'!L304</f>
        <v>D871</v>
      </c>
      <c r="H304" s="24" t="str">
        <f>'Input - Bookings'!M304</f>
        <v>GP35MX</v>
      </c>
      <c r="I304" s="24" t="str">
        <f>'Input - Bookings'!B304</f>
        <v>AUD</v>
      </c>
      <c r="J304" s="13" t="str">
        <f>IF(I304="USD",INDEX('AP Plants'!A:A,MATCH(G304,'AP Plants'!D:D,0)),INDEX('Australia Plants'!A:A,MATCH(G304,'Australia Plants'!D:D,0)))</f>
        <v>SN</v>
      </c>
      <c r="K304" s="73">
        <v>1</v>
      </c>
      <c r="L304" s="97">
        <v>48405</v>
      </c>
      <c r="M304" s="97">
        <v>38462.800000000003</v>
      </c>
      <c r="N304" s="99">
        <v>0.1950375209152051</v>
      </c>
      <c r="O304" s="25">
        <f t="shared" si="97"/>
        <v>0.20539613676273105</v>
      </c>
      <c r="P304" s="14">
        <f>IFERROR(IF(OR(B304&amp;C304="PAU",B304&amp;C304="AIN"),VLOOKUP(B304&amp;C304&amp;G304,#REF!,8,0),VLOOKUP(B304&amp;G304,#REF!,8,0)),0)</f>
        <v>0</v>
      </c>
      <c r="Q304" s="15">
        <f t="shared" si="93"/>
        <v>0.1950375209152051</v>
      </c>
      <c r="R304" s="16" t="str">
        <f t="shared" si="98"/>
        <v>AOP</v>
      </c>
      <c r="S304" s="17">
        <f t="shared" si="99"/>
        <v>7501.6891594573508</v>
      </c>
      <c r="T304" s="18" t="e">
        <f t="shared" si="100"/>
        <v>#DIV/0!</v>
      </c>
      <c r="U304" s="23" t="e">
        <f t="shared" si="95"/>
        <v>#DIV/0!</v>
      </c>
      <c r="Y304" s="8" t="str">
        <f t="shared" si="101"/>
        <v>PAUH65536GP35MX</v>
      </c>
      <c r="Z304" s="8" t="str">
        <f>IF(Y304='Input - Bookings'!Q301,"OK","Check")</f>
        <v>Check</v>
      </c>
      <c r="AA304" s="139" t="s">
        <v>1107</v>
      </c>
      <c r="AB304" s="103"/>
      <c r="AC304" s="103"/>
      <c r="AD304" s="100">
        <v>18980.523060507981</v>
      </c>
      <c r="AE304" s="110"/>
      <c r="AF304" s="8" t="str">
        <f t="array" ref="AF304">_xlfn.XLOOKUP($G304,'AP Plants'!D:D,'AP Plants'!B:B)</f>
        <v>Class 5 NOT BT</v>
      </c>
      <c r="AG304" s="102">
        <f>AD304*'Currency &amp; Conversion'!$L$6</f>
        <v>28265.794941708489</v>
      </c>
      <c r="AH304" s="102"/>
      <c r="AI304" s="44">
        <v>1.4999999999999999E-2</v>
      </c>
      <c r="AJ304" s="15">
        <f>_xlfn.XLOOKUP($AF304,Warranty!B:B,Warranty!E:E)</f>
        <v>5.0000000000000001E-3</v>
      </c>
      <c r="AK304" s="8">
        <f>IF($I304="AUD",VLOOKUP(RIGHT('Wk - Margins'!$G304,3),'AU Freight'!C:G,5,0),0)</f>
        <v>2130</v>
      </c>
      <c r="AL304" s="15">
        <f t="shared" si="109"/>
        <v>0</v>
      </c>
      <c r="AM304" s="61">
        <f t="shared" si="102"/>
        <v>30961.110840542653</v>
      </c>
      <c r="AN304" s="63">
        <f t="shared" si="110"/>
        <v>0.1950375209152051</v>
      </c>
      <c r="AQ304" s="147"/>
    </row>
    <row r="305" spans="1:43">
      <c r="A305" s="10" t="str">
        <f>'Input - Bookings'!A305</f>
        <v>10-11</v>
      </c>
      <c r="B305" s="11" t="str">
        <f>'Input - Bookings'!C305</f>
        <v>P</v>
      </c>
      <c r="C305" s="11" t="str">
        <f>'Input - Bookings'!H305</f>
        <v>AU</v>
      </c>
      <c r="D305" s="24" t="str">
        <f>'Input - Bookings'!E305</f>
        <v>067</v>
      </c>
      <c r="E305" s="24" t="str">
        <f>'Input - Bookings'!G305</f>
        <v>SOUTH QUEENSLAND HANDLING</v>
      </c>
      <c r="F305" s="24" t="str">
        <f>'Input - Bookings'!I305</f>
        <v>H65537</v>
      </c>
      <c r="G305" s="24" t="str">
        <f>'Input - Bookings'!L305</f>
        <v>D871</v>
      </c>
      <c r="H305" s="24" t="str">
        <f>'Input - Bookings'!M305</f>
        <v>GP25MX</v>
      </c>
      <c r="I305" s="24" t="str">
        <f>'Input - Bookings'!B305</f>
        <v>AUD</v>
      </c>
      <c r="J305" s="13" t="str">
        <f>IF(I305="USD",INDEX('AP Plants'!A:A,MATCH(G305,'AP Plants'!D:D,0)),INDEX('Australia Plants'!A:A,MATCH(G305,'Australia Plants'!D:D,0)))</f>
        <v>SN</v>
      </c>
      <c r="K305" s="73">
        <v>1</v>
      </c>
      <c r="L305" s="97">
        <v>47275</v>
      </c>
      <c r="M305" s="97">
        <v>37372.800000000003</v>
      </c>
      <c r="N305" s="99">
        <v>0.17850008313886467</v>
      </c>
      <c r="O305" s="25">
        <f t="shared" si="97"/>
        <v>0.20945954521417232</v>
      </c>
      <c r="P305" s="14">
        <f>IFERROR(IF(OR(B305&amp;C305="PAU",B305&amp;C305="AIN"),VLOOKUP(B305&amp;C305&amp;G305,#REF!,8,0),VLOOKUP(B305&amp;G305,#REF!,8,0)),0)</f>
        <v>0</v>
      </c>
      <c r="Q305" s="15">
        <f t="shared" si="93"/>
        <v>0.17850008313886467</v>
      </c>
      <c r="R305" s="16" t="str">
        <f t="shared" si="98"/>
        <v>AOP</v>
      </c>
      <c r="S305" s="17">
        <f t="shared" si="99"/>
        <v>6671.0479071321624</v>
      </c>
      <c r="T305" s="18" t="e">
        <f t="shared" si="100"/>
        <v>#DIV/0!</v>
      </c>
      <c r="U305" s="23" t="e">
        <f t="shared" si="95"/>
        <v>#DIV/0!</v>
      </c>
      <c r="Y305" s="8" t="str">
        <f t="shared" si="101"/>
        <v>PAUH65537GP25MX</v>
      </c>
      <c r="Z305" s="8" t="str">
        <f>IF(Y305='Input - Bookings'!Q302,"OK","Check")</f>
        <v>Check</v>
      </c>
      <c r="AA305" s="139"/>
      <c r="AB305" s="103"/>
      <c r="AC305" s="103"/>
      <c r="AD305" s="100">
        <v>18809.77817598332</v>
      </c>
      <c r="AE305" s="110"/>
      <c r="AF305" s="8" t="str">
        <f t="array" ref="AF305">_xlfn.XLOOKUP($G305,'AP Plants'!D:D,'AP Plants'!B:B)</f>
        <v>Class 5 NOT BT</v>
      </c>
      <c r="AG305" s="102">
        <f>AD305*'Currency &amp; Conversion'!$L$6</f>
        <v>28011.521659674359</v>
      </c>
      <c r="AH305" s="102"/>
      <c r="AI305" s="44">
        <v>1.4999999999999999E-2</v>
      </c>
      <c r="AJ305" s="15">
        <f>_xlfn.XLOOKUP($AF305,Warranty!B:B,Warranty!E:E)</f>
        <v>5.0000000000000001E-3</v>
      </c>
      <c r="AK305" s="8">
        <f>IF($I305="AUD",VLOOKUP(RIGHT('Wk - Margins'!$G305,3),'AU Freight'!C:G,5,0),0)</f>
        <v>2130</v>
      </c>
      <c r="AL305" s="15">
        <f t="shared" si="109"/>
        <v>0</v>
      </c>
      <c r="AM305" s="61">
        <f t="shared" si="102"/>
        <v>30701.752092867842</v>
      </c>
      <c r="AN305" s="63">
        <f t="shared" si="110"/>
        <v>0.17850008313886467</v>
      </c>
      <c r="AQ305" s="147"/>
    </row>
    <row r="306" spans="1:43">
      <c r="A306" s="10" t="str">
        <f>'Input - Bookings'!A306</f>
        <v>10-16</v>
      </c>
      <c r="B306" s="11" t="str">
        <f>'Input - Bookings'!C306</f>
        <v>P</v>
      </c>
      <c r="C306" s="11" t="str">
        <f>'Input - Bookings'!H306</f>
        <v>NZ</v>
      </c>
      <c r="D306" s="24" t="str">
        <f>'Input - Bookings'!E306</f>
        <v>065</v>
      </c>
      <c r="E306" s="24" t="str">
        <f>'Input - Bookings'!G306</f>
        <v>SIME DARBY TRANSPORT (NZ)</v>
      </c>
      <c r="F306" s="24" t="str">
        <f>'Input - Bookings'!I306</f>
        <v>H66024</v>
      </c>
      <c r="G306" s="24" t="str">
        <f>'Input - Bookings'!L306</f>
        <v>A3C4</v>
      </c>
      <c r="H306" s="24" t="str">
        <f>'Input - Bookings'!M306</f>
        <v>J3.5UT</v>
      </c>
      <c r="I306" s="24" t="str">
        <f>'Input - Bookings'!B306</f>
        <v>USD</v>
      </c>
      <c r="J306" s="13" t="str">
        <f>IF(I306="USD",INDEX('AP Plants'!A:A,MATCH(G306,'AP Plants'!D:D,0)),INDEX('Australia Plants'!A:A,MATCH(G306,'Australia Plants'!D:D,0)))</f>
        <v>Maximal</v>
      </c>
      <c r="K306" s="73">
        <v>1</v>
      </c>
      <c r="L306" s="97">
        <v>26090</v>
      </c>
      <c r="M306" s="97">
        <v>20912</v>
      </c>
      <c r="N306" s="99">
        <v>0.23953219924701241</v>
      </c>
      <c r="O306" s="25">
        <f t="shared" si="97"/>
        <v>0.19846684553468763</v>
      </c>
      <c r="P306" s="14">
        <f>IFERROR(IF(OR(B306&amp;C306="PAU",B306&amp;C306="AIN"),VLOOKUP(B306&amp;C306&amp;G306,#REF!,8,0),VLOOKUP(B306&amp;G306,#REF!,8,0)),0)</f>
        <v>0</v>
      </c>
      <c r="Q306" s="15">
        <f t="shared" si="93"/>
        <v>0.23953219924701241</v>
      </c>
      <c r="R306" s="16" t="str">
        <f t="shared" si="98"/>
        <v>AOP</v>
      </c>
      <c r="S306" s="17">
        <f t="shared" si="99"/>
        <v>5009.0973506535238</v>
      </c>
      <c r="T306" s="18">
        <f t="shared" si="100"/>
        <v>5009.0973506535238</v>
      </c>
      <c r="U306" s="23">
        <f t="shared" si="95"/>
        <v>20912</v>
      </c>
      <c r="Y306" s="8" t="str">
        <f t="shared" si="101"/>
        <v>PNZH66024J3.5UT</v>
      </c>
      <c r="Z306" s="8" t="str">
        <f>IF(Y306='Input - Bookings'!Q303,"OK","Check")</f>
        <v>Check</v>
      </c>
      <c r="AA306" s="139"/>
      <c r="AB306" s="103"/>
      <c r="AC306" s="103"/>
      <c r="AD306" s="100">
        <v>15591.081028771057</v>
      </c>
      <c r="AE306" s="100"/>
      <c r="AF306" s="8" t="str">
        <f t="array" ref="AF306">_xlfn.XLOOKUP($G306,'AP Plants'!D:D,'AP Plants'!B:B)</f>
        <v>Class 1</v>
      </c>
      <c r="AG306" s="102"/>
      <c r="AH306" s="102">
        <f t="shared" ref="AH306" si="111">AD306</f>
        <v>15591.081028771057</v>
      </c>
      <c r="AI306" s="44">
        <v>1.4999999999999999E-2</v>
      </c>
      <c r="AJ306" s="15">
        <f>_xlfn.XLOOKUP($AF306,Warranty!B:B,Warranty!E:E)</f>
        <v>5.0000000000000001E-3</v>
      </c>
      <c r="AK306" s="8">
        <f>IF($I306="AUD",VLOOKUP(RIGHT('Wk - Margins'!$G306,3),'AU Freight'!C:G,5,0),0)</f>
        <v>0</v>
      </c>
      <c r="AL306" s="15">
        <f t="shared" si="109"/>
        <v>0</v>
      </c>
      <c r="AM306" s="61">
        <f t="shared" si="102"/>
        <v>15902.902649346475</v>
      </c>
      <c r="AN306" s="63">
        <f t="shared" si="110"/>
        <v>0.23953219924701241</v>
      </c>
      <c r="AQ306" s="147"/>
    </row>
    <row r="307" spans="1:43">
      <c r="A307" s="10" t="str">
        <f>'Input - Bookings'!A307</f>
        <v>10-17</v>
      </c>
      <c r="B307" s="11" t="str">
        <f>'Input - Bookings'!C307</f>
        <v>P</v>
      </c>
      <c r="C307" s="11" t="str">
        <f>'Input - Bookings'!H307</f>
        <v>AU</v>
      </c>
      <c r="D307" s="24" t="str">
        <f>'Input - Bookings'!E307</f>
        <v>065</v>
      </c>
      <c r="E307" s="24" t="str">
        <f>'Input - Bookings'!G307</f>
        <v>ADAPT-A-LIFT GROUP (VIC)</v>
      </c>
      <c r="F307" s="24" t="str">
        <f>'Input - Bookings'!I307</f>
        <v>H66282</v>
      </c>
      <c r="G307" s="24" t="str">
        <f>'Input - Bookings'!L307</f>
        <v>A406</v>
      </c>
      <c r="H307" s="24" t="str">
        <f>'Input - Bookings'!M307</f>
        <v>R1.4 406</v>
      </c>
      <c r="I307" s="24" t="str">
        <f>'Input - Bookings'!B307</f>
        <v>AUD</v>
      </c>
      <c r="J307" s="13" t="str">
        <f>IF(I307="USD",INDEX('AP Plants'!A:A,MATCH(G307,'AP Plants'!D:D,0)),INDEX('Australia Plants'!A:A,MATCH(G307,'Australia Plants'!D:D,0)))</f>
        <v>Maximal</v>
      </c>
      <c r="K307" s="73">
        <v>1</v>
      </c>
      <c r="L307" s="97">
        <v>47665</v>
      </c>
      <c r="M307" s="97">
        <v>32862.75</v>
      </c>
      <c r="N307" s="99">
        <v>6.6153242969851034E-2</v>
      </c>
      <c r="O307" s="25">
        <f t="shared" si="97"/>
        <v>0.3105475715934124</v>
      </c>
      <c r="P307" s="14">
        <f>IFERROR(IF(OR(B307&amp;C307="PAU",B307&amp;C307="AIN"),VLOOKUP(B307&amp;C307&amp;G307,#REF!,8,0),VLOOKUP(B307&amp;G307,#REF!,8,0)),0)</f>
        <v>0</v>
      </c>
      <c r="Q307" s="15">
        <f t="shared" si="93"/>
        <v>6.6153242969851034E-2</v>
      </c>
      <c r="R307" s="16" t="str">
        <f t="shared" si="98"/>
        <v>AOP</v>
      </c>
      <c r="S307" s="17">
        <f t="shared" si="99"/>
        <v>2173.9774854074722</v>
      </c>
      <c r="T307" s="18" t="e">
        <f t="shared" si="100"/>
        <v>#DIV/0!</v>
      </c>
      <c r="U307" s="23" t="e">
        <f t="shared" si="95"/>
        <v>#DIV/0!</v>
      </c>
      <c r="Y307" s="8" t="str">
        <f t="shared" si="101"/>
        <v>PAUH66282R1.4 406</v>
      </c>
      <c r="Z307" s="8" t="str">
        <f>IF(Y307='Input - Bookings'!Q304,"OK","Check")</f>
        <v>Check</v>
      </c>
      <c r="AA307" s="118"/>
      <c r="AB307" s="103"/>
      <c r="AC307" s="103"/>
      <c r="AD307" s="100">
        <v>18703.449636471614</v>
      </c>
      <c r="AE307" s="100"/>
      <c r="AF307" s="8" t="str">
        <f t="array" ref="AF307">_xlfn.XLOOKUP($G307,'AP Plants'!D:D,'AP Plants'!B:B)</f>
        <v>Class 2</v>
      </c>
      <c r="AG307" s="102">
        <f>AD307*'Currency &amp; Conversion'!$L$6</f>
        <v>27853.17719863353</v>
      </c>
      <c r="AH307" s="102"/>
      <c r="AI307" s="44">
        <v>1.4999999999999999E-2</v>
      </c>
      <c r="AJ307" s="15">
        <f>_xlfn.XLOOKUP($AF307,Warranty!B:B,Warranty!E:E)</f>
        <v>1.4999999999999999E-2</v>
      </c>
      <c r="AK307" s="8">
        <f>IF($I307="AUD",VLOOKUP(RIGHT('Wk - Margins'!$G307,3),'AU Freight'!C:G,5,0),0)</f>
        <v>2000</v>
      </c>
      <c r="AL307" s="15">
        <f t="shared" si="109"/>
        <v>0</v>
      </c>
      <c r="AM307" s="61">
        <f t="shared" si="102"/>
        <v>30688.772514592529</v>
      </c>
      <c r="AN307" s="63">
        <f t="shared" si="110"/>
        <v>6.6153242969851034E-2</v>
      </c>
      <c r="AQ307" s="147"/>
    </row>
    <row r="308" spans="1:43">
      <c r="A308" s="10" t="str">
        <f>'Input - Bookings'!A308</f>
        <v>10-18</v>
      </c>
      <c r="B308" s="11" t="str">
        <f>'Input - Bookings'!C308</f>
        <v>P</v>
      </c>
      <c r="C308" s="11" t="str">
        <f>'Input - Bookings'!H308</f>
        <v>AU</v>
      </c>
      <c r="D308" s="24" t="str">
        <f>'Input - Bookings'!E308</f>
        <v>065</v>
      </c>
      <c r="E308" s="24" t="str">
        <f>'Input - Bookings'!G308</f>
        <v>ADAPT-A-LIFT GROUP (NSW)</v>
      </c>
      <c r="F308" s="24" t="str">
        <f>'Input - Bookings'!I308</f>
        <v>H66968</v>
      </c>
      <c r="G308" s="24" t="str">
        <f>'Input - Bookings'!L308</f>
        <v>F222</v>
      </c>
      <c r="H308" s="24" t="str">
        <f>'Input - Bookings'!M308</f>
        <v>RS46-41XD/75S</v>
      </c>
      <c r="I308" s="24" t="str">
        <f>'Input - Bookings'!B308</f>
        <v>AUD</v>
      </c>
      <c r="J308" s="13" t="str">
        <f>IF(I308="USD",INDEX('AP Plants'!A:A,MATCH(G308,'AP Plants'!D:D,0)),INDEX('Australia Plants'!A:A,MATCH(G308,'Australia Plants'!D:D,0)))</f>
        <v>Nijmegen</v>
      </c>
      <c r="K308" s="73">
        <v>1</v>
      </c>
      <c r="L308" s="97">
        <v>927870</v>
      </c>
      <c r="M308" s="97">
        <v>865562.25</v>
      </c>
      <c r="N308" s="99">
        <v>0.14561173178054809</v>
      </c>
      <c r="O308" s="25">
        <f t="shared" si="97"/>
        <v>6.7151378964725672E-2</v>
      </c>
      <c r="P308" s="14">
        <f>IFERROR(IF(OR(B308&amp;C308="PAU",B308&amp;C308="AIN"),VLOOKUP(B308&amp;C308&amp;G308,#REF!,8,0),VLOOKUP(B308&amp;G308,#REF!,8,0)),0)</f>
        <v>0</v>
      </c>
      <c r="Q308" s="15">
        <f t="shared" ref="Q308:Q335" si="112">N308-P308</f>
        <v>0.14561173178054809</v>
      </c>
      <c r="R308" s="16" t="str">
        <f t="shared" si="98"/>
        <v>AOP</v>
      </c>
      <c r="S308" s="17">
        <f t="shared" si="99"/>
        <v>126036.01818636771</v>
      </c>
      <c r="T308" s="18" t="e">
        <f t="shared" si="100"/>
        <v>#DIV/0!</v>
      </c>
      <c r="U308" s="23" t="e">
        <f t="shared" si="95"/>
        <v>#DIV/0!</v>
      </c>
      <c r="Y308" s="8" t="str">
        <f t="shared" si="101"/>
        <v>PAUH66968RS46-41XD/75S</v>
      </c>
      <c r="Z308" s="8" t="str">
        <f>IF(Y308='Input - Bookings'!Q305,"OK","Check")</f>
        <v>Check</v>
      </c>
      <c r="AA308" s="139"/>
      <c r="AB308" s="103">
        <v>0</v>
      </c>
      <c r="AC308" s="103">
        <v>97100</v>
      </c>
      <c r="AD308" s="100"/>
      <c r="AE308" s="100">
        <v>359191.95188100002</v>
      </c>
      <c r="AF308" s="8" t="str">
        <f t="array" ref="AF308">_xlfn.XLOOKUP($G308,'AP Plants'!D:D,'AP Plants'!B:B)</f>
        <v>Class 5 BT</v>
      </c>
      <c r="AG308" s="102">
        <f>(AE308*(1+VLOOKUP(J308,'Currency &amp; Conversion'!$F$12:$I$18,2,0))*'Currency &amp; Conversion'!$L$4)+((AB308+AC308)*90%)</f>
        <v>650766.44880670914</v>
      </c>
      <c r="AH308" s="102"/>
      <c r="AI308" s="44">
        <v>1.4999999999999999E-2</v>
      </c>
      <c r="AJ308" s="15">
        <f>_xlfn.XLOOKUP($AF308,Warranty!B:B,Warranty!E:E)</f>
        <v>1.2999999999999999E-2</v>
      </c>
      <c r="AK308" s="8">
        <f>IF($I308="AUD",VLOOKUP(RIGHT('Wk - Margins'!$G308,3),'AU Freight'!C:G,5,0),0)</f>
        <v>38000</v>
      </c>
      <c r="AL308" s="15">
        <f t="shared" si="109"/>
        <v>0.05</v>
      </c>
      <c r="AM308" s="61">
        <f t="shared" si="102"/>
        <v>739526.2318136323</v>
      </c>
      <c r="AN308" s="63">
        <f t="shared" si="110"/>
        <v>0.14561173178054809</v>
      </c>
      <c r="AQ308" s="147"/>
    </row>
    <row r="309" spans="1:43">
      <c r="A309" s="10" t="str">
        <f>'Input - Bookings'!A309</f>
        <v>10-18</v>
      </c>
      <c r="B309" s="11" t="str">
        <f>'Input - Bookings'!C309</f>
        <v>P</v>
      </c>
      <c r="C309" s="11" t="str">
        <f>'Input - Bookings'!H309</f>
        <v>AU</v>
      </c>
      <c r="D309" s="24" t="str">
        <f>'Input - Bookings'!E309</f>
        <v>065</v>
      </c>
      <c r="E309" s="24" t="str">
        <f>'Input - Bookings'!G309</f>
        <v>ADAPT-A-LIFT GROUP (NSW)</v>
      </c>
      <c r="F309" s="24" t="str">
        <f>'Input - Bookings'!I309</f>
        <v>H66969</v>
      </c>
      <c r="G309" s="24" t="str">
        <f>'Input - Bookings'!L309</f>
        <v>F222</v>
      </c>
      <c r="H309" s="24" t="str">
        <f>'Input - Bookings'!M309</f>
        <v>RS46-41XD/75S</v>
      </c>
      <c r="I309" s="24" t="str">
        <f>'Input - Bookings'!B309</f>
        <v>AUD</v>
      </c>
      <c r="J309" s="13" t="str">
        <f>IF(I309="USD",INDEX('AP Plants'!A:A,MATCH(G309,'AP Plants'!D:D,0)),INDEX('Australia Plants'!A:A,MATCH(G309,'Australia Plants'!D:D,0)))</f>
        <v>Nijmegen</v>
      </c>
      <c r="K309" s="73">
        <v>1</v>
      </c>
      <c r="L309" s="97">
        <v>927870</v>
      </c>
      <c r="M309" s="97">
        <v>865562.25</v>
      </c>
      <c r="N309" s="99">
        <v>0.14561173178054809</v>
      </c>
      <c r="O309" s="25">
        <f t="shared" si="97"/>
        <v>6.7151378964725672E-2</v>
      </c>
      <c r="P309" s="14">
        <f>IFERROR(IF(OR(B309&amp;C309="PAU",B309&amp;C309="AIN"),VLOOKUP(B309&amp;C309&amp;G309,#REF!,8,0),VLOOKUP(B309&amp;G309,#REF!,8,0)),0)</f>
        <v>0</v>
      </c>
      <c r="Q309" s="15">
        <f t="shared" si="112"/>
        <v>0.14561173178054809</v>
      </c>
      <c r="R309" s="16" t="str">
        <f t="shared" si="98"/>
        <v>AOP</v>
      </c>
      <c r="S309" s="17">
        <f t="shared" si="99"/>
        <v>126036.01818636771</v>
      </c>
      <c r="T309" s="18" t="e">
        <f t="shared" si="100"/>
        <v>#DIV/0!</v>
      </c>
      <c r="U309" s="23" t="e">
        <f t="shared" si="95"/>
        <v>#DIV/0!</v>
      </c>
      <c r="Y309" s="8" t="str">
        <f t="shared" si="101"/>
        <v>PAUH66969RS46-41XD/75S</v>
      </c>
      <c r="Z309" s="8" t="str">
        <f>IF(Y309='Input - Bookings'!Q306,"OK","Check")</f>
        <v>Check</v>
      </c>
      <c r="AA309" s="139"/>
      <c r="AB309" s="103">
        <v>0</v>
      </c>
      <c r="AC309" s="103">
        <v>97100</v>
      </c>
      <c r="AD309" s="100"/>
      <c r="AE309" s="100">
        <v>359191.95188100002</v>
      </c>
      <c r="AF309" s="8" t="str">
        <f t="array" ref="AF309">_xlfn.XLOOKUP($G309,'AP Plants'!D:D,'AP Plants'!B:B)</f>
        <v>Class 5 BT</v>
      </c>
      <c r="AG309" s="102">
        <f>(AE309*(1+VLOOKUP(J309,'Currency &amp; Conversion'!$F$12:$I$18,2,0))*'Currency &amp; Conversion'!$L$4)+((AB309+AC309)*90%)</f>
        <v>650766.44880670914</v>
      </c>
      <c r="AH309" s="102"/>
      <c r="AI309" s="44">
        <v>1.4999999999999999E-2</v>
      </c>
      <c r="AJ309" s="15">
        <f>_xlfn.XLOOKUP($AF309,Warranty!B:B,Warranty!E:E)</f>
        <v>1.2999999999999999E-2</v>
      </c>
      <c r="AK309" s="8">
        <f>IF($I309="AUD",VLOOKUP(RIGHT('Wk - Margins'!$G309,3),'AU Freight'!C:G,5,0),0)</f>
        <v>38000</v>
      </c>
      <c r="AL309" s="15">
        <f t="shared" si="109"/>
        <v>0.05</v>
      </c>
      <c r="AM309" s="61">
        <f t="shared" si="102"/>
        <v>739526.2318136323</v>
      </c>
      <c r="AN309" s="63">
        <f t="shared" si="110"/>
        <v>0.14561173178054809</v>
      </c>
      <c r="AQ309" s="147"/>
    </row>
    <row r="310" spans="1:43">
      <c r="A310" s="10" t="str">
        <f>'Input - Bookings'!A310</f>
        <v>10-19</v>
      </c>
      <c r="B310" s="11" t="str">
        <f>'Input - Bookings'!C310</f>
        <v>P</v>
      </c>
      <c r="C310" s="11" t="str">
        <f>'Input - Bookings'!H310</f>
        <v>AU</v>
      </c>
      <c r="D310" s="24" t="str">
        <f>'Input - Bookings'!E310</f>
        <v>065</v>
      </c>
      <c r="E310" s="24" t="str">
        <f>'Input - Bookings'!G310</f>
        <v>ADAPT-A-LIFT GROUP (VIC)</v>
      </c>
      <c r="F310" s="24" t="str">
        <f>'Input - Bookings'!I310</f>
        <v>H67331</v>
      </c>
      <c r="G310" s="24" t="str">
        <f>'Input - Bookings'!L310</f>
        <v>D917</v>
      </c>
      <c r="H310" s="24" t="str">
        <f>'Input - Bookings'!M310</f>
        <v>H36XDS12</v>
      </c>
      <c r="I310" s="24" t="str">
        <f>'Input - Bookings'!B310</f>
        <v>AUD</v>
      </c>
      <c r="J310" s="13" t="str">
        <f>IF(I310="USD",INDEX('AP Plants'!A:A,MATCH(G310,'AP Plants'!D:D,0)),INDEX('Australia Plants'!A:A,MATCH(G310,'Australia Plants'!D:D,0)))</f>
        <v>Nijmegen</v>
      </c>
      <c r="K310" s="73">
        <v>1</v>
      </c>
      <c r="L310" s="97">
        <v>849674</v>
      </c>
      <c r="M310" s="97">
        <v>803819.17999999993</v>
      </c>
      <c r="N310" s="99">
        <v>0.34992242526033135</v>
      </c>
      <c r="O310" s="25">
        <f t="shared" si="97"/>
        <v>5.3967545199688383E-2</v>
      </c>
      <c r="P310" s="14">
        <f>IFERROR(IF(OR(B310&amp;C310="PAU",B310&amp;C310="AIN"),VLOOKUP(B310&amp;C310&amp;G310,#REF!,8,0),VLOOKUP(B310&amp;G310,#REF!,8,0)),0)</f>
        <v>0</v>
      </c>
      <c r="Q310" s="15">
        <f t="shared" si="112"/>
        <v>0.34992242526033135</v>
      </c>
      <c r="R310" s="16" t="str">
        <f t="shared" si="98"/>
        <v>AOP</v>
      </c>
      <c r="S310" s="17">
        <f t="shared" si="99"/>
        <v>281274.35693637084</v>
      </c>
      <c r="T310" s="18" t="e">
        <f t="shared" si="100"/>
        <v>#DIV/0!</v>
      </c>
      <c r="U310" s="23" t="e">
        <f t="shared" si="95"/>
        <v>#DIV/0!</v>
      </c>
      <c r="Y310" s="8" t="str">
        <f t="shared" si="101"/>
        <v>PAUH67331H36XDS12</v>
      </c>
      <c r="Z310" s="8" t="str">
        <f>IF(Y310='Input - Bookings'!Q307,"OK","Check")</f>
        <v>Check</v>
      </c>
      <c r="AA310" s="118"/>
      <c r="AB310" s="103">
        <v>50959.13</v>
      </c>
      <c r="AC310" s="103">
        <v>0</v>
      </c>
      <c r="AD310" s="100"/>
      <c r="AE310" s="100">
        <v>263251.53612200002</v>
      </c>
      <c r="AF310" s="8" t="str">
        <f t="array" ref="AF310">_xlfn.XLOOKUP($G310,'AP Plants'!D:D,'AP Plants'!B:B)</f>
        <v>Class 5 BT</v>
      </c>
      <c r="AG310" s="102">
        <f>(AE310*(1+VLOOKUP(J310,'Currency &amp; Conversion'!$F$12:$I$18,2,0))*'Currency &amp; Conversion'!$L$4)+((AB310+AC310)*90%)</f>
        <v>458761.4314133852</v>
      </c>
      <c r="AH310" s="102"/>
      <c r="AI310" s="44">
        <v>1.4999999999999999E-2</v>
      </c>
      <c r="AJ310" s="15">
        <f>_xlfn.XLOOKUP($AF310,Warranty!B:B,Warranty!E:E)</f>
        <v>1.2999999999999999E-2</v>
      </c>
      <c r="AK310" s="8">
        <f>IF($I310="AUD",VLOOKUP(RIGHT('Wk - Margins'!$G310,3),'AU Freight'!C:G,5,0),0)</f>
        <v>28000</v>
      </c>
      <c r="AL310" s="15">
        <f t="shared" si="109"/>
        <v>0.05</v>
      </c>
      <c r="AM310" s="61">
        <f t="shared" si="102"/>
        <v>522544.82306362916</v>
      </c>
      <c r="AN310" s="63">
        <f t="shared" si="110"/>
        <v>0.34992242526033135</v>
      </c>
      <c r="AQ310" s="147"/>
    </row>
    <row r="311" spans="1:43">
      <c r="A311" s="10" t="str">
        <f>'Input - Bookings'!A311</f>
        <v>10-19</v>
      </c>
      <c r="B311" s="11" t="str">
        <f>'Input - Bookings'!C311</f>
        <v>P</v>
      </c>
      <c r="C311" s="11" t="str">
        <f>'Input - Bookings'!H311</f>
        <v>AU</v>
      </c>
      <c r="D311" s="24" t="str">
        <f>'Input - Bookings'!E311</f>
        <v>067</v>
      </c>
      <c r="E311" s="24" t="str">
        <f>'Input - Bookings'!G311</f>
        <v>ADAPT-A-LIFT GROUP(NSW)</v>
      </c>
      <c r="F311" s="24" t="str">
        <f>'Input - Bookings'!I311</f>
        <v>H66979</v>
      </c>
      <c r="G311" s="24" t="str">
        <f>'Input - Bookings'!L311</f>
        <v>D871</v>
      </c>
      <c r="H311" s="24" t="str">
        <f>'Input - Bookings'!M311</f>
        <v>GP35MX</v>
      </c>
      <c r="I311" s="24" t="str">
        <f>'Input - Bookings'!B311</f>
        <v>AUD</v>
      </c>
      <c r="J311" s="13" t="str">
        <f>IF(I311="USD",INDEX('AP Plants'!A:A,MATCH(G311,'AP Plants'!D:D,0)),INDEX('Australia Plants'!A:A,MATCH(G311,'Australia Plants'!D:D,0)))</f>
        <v>SN</v>
      </c>
      <c r="K311" s="73">
        <v>1</v>
      </c>
      <c r="L311" s="97">
        <v>49475</v>
      </c>
      <c r="M311" s="97">
        <v>40627.199999999997</v>
      </c>
      <c r="N311" s="99">
        <v>0.23221803545973829</v>
      </c>
      <c r="O311" s="25">
        <f t="shared" si="97"/>
        <v>0.17883375442142502</v>
      </c>
      <c r="P311" s="14">
        <f>IFERROR(IF(OR(B311&amp;C311="PAU",B311&amp;C311="AIN"),VLOOKUP(B311&amp;C311&amp;G311,#REF!,8,0),VLOOKUP(B311&amp;G311,#REF!,8,0)),0)</f>
        <v>0</v>
      </c>
      <c r="Q311" s="15">
        <f t="shared" si="112"/>
        <v>0.23221803545973829</v>
      </c>
      <c r="R311" s="16" t="str">
        <f t="shared" si="98"/>
        <v>AOP</v>
      </c>
      <c r="S311" s="17">
        <f t="shared" si="99"/>
        <v>9434.368570229879</v>
      </c>
      <c r="T311" s="18" t="e">
        <f t="shared" si="100"/>
        <v>#DIV/0!</v>
      </c>
      <c r="U311" s="23" t="e">
        <f t="shared" si="95"/>
        <v>#DIV/0!</v>
      </c>
      <c r="Y311" s="8" t="str">
        <f t="shared" si="101"/>
        <v>PAUH66979GP35MX</v>
      </c>
      <c r="Z311" s="8" t="str">
        <f>IF(Y311='Input - Bookings'!Q308,"OK","Check")</f>
        <v>Check</v>
      </c>
      <c r="AA311" s="139" t="s">
        <v>1149</v>
      </c>
      <c r="AB311" s="103"/>
      <c r="AC311" s="103"/>
      <c r="AD311" s="100">
        <v>19133.072784025455</v>
      </c>
      <c r="AE311" s="100"/>
      <c r="AF311" s="8" t="str">
        <f t="array" ref="AF311">_xlfn.XLOOKUP($G311,'AP Plants'!D:D,'AP Plants'!B:B)</f>
        <v>Class 5 NOT BT</v>
      </c>
      <c r="AG311" s="102">
        <f>AD311*'Currency &amp; Conversion'!$L$6</f>
        <v>28492.971989970709</v>
      </c>
      <c r="AH311" s="102"/>
      <c r="AI311" s="44">
        <v>1.4999999999999999E-2</v>
      </c>
      <c r="AJ311" s="15">
        <f>_xlfn.XLOOKUP($AF311,Warranty!B:B,Warranty!E:E)</f>
        <v>5.0000000000000001E-3</v>
      </c>
      <c r="AK311" s="8">
        <f>IF($I311="AUD",VLOOKUP(RIGHT('Wk - Margins'!$G311,3),'AU Freight'!C:G,5,0),0)</f>
        <v>2130</v>
      </c>
      <c r="AL311" s="15">
        <f t="shared" si="109"/>
        <v>0</v>
      </c>
      <c r="AM311" s="61">
        <f t="shared" si="102"/>
        <v>31192.831429770118</v>
      </c>
      <c r="AN311" s="63">
        <f t="shared" si="110"/>
        <v>0.23221803545973829</v>
      </c>
      <c r="AQ311" s="147"/>
    </row>
    <row r="312" spans="1:43">
      <c r="A312" s="10" t="str">
        <f>'Input - Bookings'!A312</f>
        <v>10-19</v>
      </c>
      <c r="B312" s="11" t="str">
        <f>'Input - Bookings'!C312</f>
        <v>P</v>
      </c>
      <c r="C312" s="11" t="str">
        <f>'Input - Bookings'!H312</f>
        <v>AU</v>
      </c>
      <c r="D312" s="24" t="str">
        <f>'Input - Bookings'!E312</f>
        <v>065</v>
      </c>
      <c r="E312" s="24" t="str">
        <f>'Input - Bookings'!G312</f>
        <v>ADAPT-A-LIFT GROUP (WA)</v>
      </c>
      <c r="F312" s="24" t="str">
        <f>'Input - Bookings'!I312</f>
        <v>H66981</v>
      </c>
      <c r="G312" s="24" t="str">
        <f>'Input - Bookings'!L312</f>
        <v>U005</v>
      </c>
      <c r="H312" s="24" t="str">
        <f>'Input - Bookings'!M312</f>
        <v>H5.5FT</v>
      </c>
      <c r="I312" s="24" t="str">
        <f>'Input - Bookings'!B312</f>
        <v>AUD</v>
      </c>
      <c r="J312" s="13" t="str">
        <f>IF(I312="USD",INDEX('AP Plants'!A:A,MATCH(G312,'AP Plants'!D:D,0)),INDEX('Australia Plants'!A:A,MATCH(G312,'Australia Plants'!D:D,0)))</f>
        <v>Craigavon</v>
      </c>
      <c r="K312" s="73">
        <v>1</v>
      </c>
      <c r="L312" s="97">
        <v>103100</v>
      </c>
      <c r="M312" s="97">
        <v>79821</v>
      </c>
      <c r="N312" s="99">
        <v>0.25545361496607866</v>
      </c>
      <c r="O312" s="25">
        <f t="shared" si="97"/>
        <v>0.22579049466537338</v>
      </c>
      <c r="P312" s="14">
        <f>IFERROR(IF(OR(B312&amp;C312="PAU",B312&amp;C312="AIN"),VLOOKUP(B312&amp;C312&amp;G312,#REF!,8,0),VLOOKUP(B312&amp;G312,#REF!,8,0)),0)</f>
        <v>0</v>
      </c>
      <c r="Q312" s="15">
        <f t="shared" si="112"/>
        <v>0.25545361496607866</v>
      </c>
      <c r="R312" s="16" t="str">
        <f t="shared" si="98"/>
        <v>AOP</v>
      </c>
      <c r="S312" s="17">
        <f t="shared" si="99"/>
        <v>20390.563000207363</v>
      </c>
      <c r="T312" s="18" t="e">
        <f t="shared" si="100"/>
        <v>#DIV/0!</v>
      </c>
      <c r="U312" s="23" t="e">
        <f t="shared" si="95"/>
        <v>#DIV/0!</v>
      </c>
      <c r="Y312" s="8" t="str">
        <f t="shared" si="101"/>
        <v>PAUH66981H5.5FT</v>
      </c>
      <c r="Z312" s="8" t="str">
        <f>IF(Y312='Input - Bookings'!Q309,"OK","Check")</f>
        <v>Check</v>
      </c>
      <c r="AA312" s="139"/>
      <c r="AB312" s="103">
        <v>4903.6000000000004</v>
      </c>
      <c r="AC312" s="103">
        <v>0</v>
      </c>
      <c r="AD312" s="100"/>
      <c r="AE312" s="100">
        <v>31073.279999999999</v>
      </c>
      <c r="AF312" s="8" t="str">
        <f t="array" ref="AF312">_xlfn.XLOOKUP($G312,'AP Plants'!D:D,'AP Plants'!B:B)</f>
        <v>Class 5 NOT BT</v>
      </c>
      <c r="AG312" s="102">
        <f>(AE312*(1+VLOOKUP(J312,'Currency &amp; Conversion'!$F$12:$I$18,2,0))*'Currency &amp; Conversion'!$L$4)+((AB312+AC312)*90%)</f>
        <v>54480.820588032002</v>
      </c>
      <c r="AH312" s="102"/>
      <c r="AI312" s="44">
        <v>1.4999999999999999E-2</v>
      </c>
      <c r="AJ312" s="15">
        <f>_xlfn.XLOOKUP($AF312,Warranty!B:B,Warranty!E:E)</f>
        <v>5.0000000000000001E-3</v>
      </c>
      <c r="AK312" s="8">
        <f>IF($I312="AUD",VLOOKUP(RIGHT('Wk - Margins'!$G312,3),'AU Freight'!C:G,5,0),0)</f>
        <v>3860</v>
      </c>
      <c r="AL312" s="15">
        <f t="shared" si="109"/>
        <v>0</v>
      </c>
      <c r="AM312" s="61">
        <f t="shared" si="102"/>
        <v>59430.436999792633</v>
      </c>
      <c r="AN312" s="63">
        <f t="shared" si="110"/>
        <v>0.25545361496607866</v>
      </c>
      <c r="AQ312" s="147"/>
    </row>
    <row r="313" spans="1:43">
      <c r="A313" s="10" t="str">
        <f>'Input - Bookings'!A313</f>
        <v>10-19</v>
      </c>
      <c r="B313" s="11" t="str">
        <f>'Input - Bookings'!C313</f>
        <v>P</v>
      </c>
      <c r="C313" s="11" t="str">
        <f>'Input - Bookings'!H313</f>
        <v>AU</v>
      </c>
      <c r="D313" s="24" t="str">
        <f>'Input - Bookings'!E313</f>
        <v>065</v>
      </c>
      <c r="E313" s="24" t="str">
        <f>'Input - Bookings'!G313</f>
        <v>ADAPT-A-LIFT GROUP (WA)</v>
      </c>
      <c r="F313" s="24" t="str">
        <f>'Input - Bookings'!I313</f>
        <v>H66982</v>
      </c>
      <c r="G313" s="24" t="str">
        <f>'Input - Bookings'!L313</f>
        <v>U005</v>
      </c>
      <c r="H313" s="24" t="str">
        <f>'Input - Bookings'!M313</f>
        <v>H5.5FT</v>
      </c>
      <c r="I313" s="24" t="str">
        <f>'Input - Bookings'!B313</f>
        <v>AUD</v>
      </c>
      <c r="J313" s="13" t="str">
        <f>IF(I313="USD",INDEX('AP Plants'!A:A,MATCH(G313,'AP Plants'!D:D,0)),INDEX('Australia Plants'!A:A,MATCH(G313,'Australia Plants'!D:D,0)))</f>
        <v>Craigavon</v>
      </c>
      <c r="K313" s="73">
        <v>1</v>
      </c>
      <c r="L313" s="97">
        <v>103100</v>
      </c>
      <c r="M313" s="97">
        <v>79821</v>
      </c>
      <c r="N313" s="99">
        <v>0.25545361496607866</v>
      </c>
      <c r="O313" s="25">
        <f t="shared" si="97"/>
        <v>0.22579049466537338</v>
      </c>
      <c r="P313" s="14">
        <f>IFERROR(IF(OR(B313&amp;C313="PAU",B313&amp;C313="AIN"),VLOOKUP(B313&amp;C313&amp;G313,#REF!,8,0),VLOOKUP(B313&amp;G313,#REF!,8,0)),0)</f>
        <v>0</v>
      </c>
      <c r="Q313" s="15">
        <f t="shared" si="112"/>
        <v>0.25545361496607866</v>
      </c>
      <c r="R313" s="16" t="str">
        <f t="shared" si="98"/>
        <v>AOP</v>
      </c>
      <c r="S313" s="17">
        <f t="shared" si="99"/>
        <v>20390.563000207363</v>
      </c>
      <c r="T313" s="18" t="e">
        <f t="shared" si="100"/>
        <v>#DIV/0!</v>
      </c>
      <c r="U313" s="23" t="e">
        <f t="shared" si="95"/>
        <v>#DIV/0!</v>
      </c>
      <c r="Y313" s="8" t="str">
        <f t="shared" si="101"/>
        <v>PAUH66982H5.5FT</v>
      </c>
      <c r="Z313" s="8" t="str">
        <f>IF(Y313='Input - Bookings'!Q310,"OK","Check")</f>
        <v>Check</v>
      </c>
      <c r="AA313" s="139"/>
      <c r="AB313" s="103">
        <v>4903.6000000000004</v>
      </c>
      <c r="AC313" s="103">
        <v>0</v>
      </c>
      <c r="AD313" s="100"/>
      <c r="AE313" s="100">
        <v>31073.279999999999</v>
      </c>
      <c r="AF313" s="8" t="str">
        <f t="array" ref="AF313">_xlfn.XLOOKUP($G313,'AP Plants'!D:D,'AP Plants'!B:B)</f>
        <v>Class 5 NOT BT</v>
      </c>
      <c r="AG313" s="102">
        <f>(AE313*(1+VLOOKUP(J313,'Currency &amp; Conversion'!$F$12:$I$18,2,0))*'Currency &amp; Conversion'!$L$4)+((AB313+AC313)*90%)</f>
        <v>54480.820588032002</v>
      </c>
      <c r="AH313" s="102"/>
      <c r="AI313" s="44">
        <v>1.4999999999999999E-2</v>
      </c>
      <c r="AJ313" s="15">
        <f>_xlfn.XLOOKUP($AF313,Warranty!B:B,Warranty!E:E)</f>
        <v>5.0000000000000001E-3</v>
      </c>
      <c r="AK313" s="8">
        <f>IF($I313="AUD",VLOOKUP(RIGHT('Wk - Margins'!$G313,3),'AU Freight'!C:G,5,0),0)</f>
        <v>3860</v>
      </c>
      <c r="AL313" s="15">
        <f t="shared" si="109"/>
        <v>0</v>
      </c>
      <c r="AM313" s="61">
        <f t="shared" si="102"/>
        <v>59430.436999792633</v>
      </c>
      <c r="AN313" s="63">
        <f t="shared" si="110"/>
        <v>0.25545361496607866</v>
      </c>
      <c r="AQ313" s="147"/>
    </row>
    <row r="314" spans="1:43">
      <c r="A314" s="10" t="str">
        <f>'Input - Bookings'!A314</f>
        <v>10-19</v>
      </c>
      <c r="B314" s="11" t="str">
        <f>'Input - Bookings'!C314</f>
        <v>P</v>
      </c>
      <c r="C314" s="11" t="str">
        <f>'Input - Bookings'!H314</f>
        <v>AU</v>
      </c>
      <c r="D314" s="24" t="str">
        <f>'Input - Bookings'!E314</f>
        <v>065</v>
      </c>
      <c r="E314" s="24" t="str">
        <f>'Input - Bookings'!G314</f>
        <v>ADAPT-A-LIFT GROUP (WA)</v>
      </c>
      <c r="F314" s="24" t="str">
        <f>'Input - Bookings'!I314</f>
        <v>H66983</v>
      </c>
      <c r="G314" s="24" t="str">
        <f>'Input - Bookings'!L314</f>
        <v>U005</v>
      </c>
      <c r="H314" s="24" t="str">
        <f>'Input - Bookings'!M314</f>
        <v>H5.5FT</v>
      </c>
      <c r="I314" s="24" t="str">
        <f>'Input - Bookings'!B314</f>
        <v>AUD</v>
      </c>
      <c r="J314" s="13" t="str">
        <f>IF(I314="USD",INDEX('AP Plants'!A:A,MATCH(G314,'AP Plants'!D:D,0)),INDEX('Australia Plants'!A:A,MATCH(G314,'Australia Plants'!D:D,0)))</f>
        <v>Craigavon</v>
      </c>
      <c r="K314" s="73">
        <v>1</v>
      </c>
      <c r="L314" s="97">
        <v>103100</v>
      </c>
      <c r="M314" s="97">
        <v>79821</v>
      </c>
      <c r="N314" s="99">
        <v>0.25545361496607866</v>
      </c>
      <c r="O314" s="25">
        <f t="shared" si="97"/>
        <v>0.22579049466537338</v>
      </c>
      <c r="P314" s="14">
        <f>IFERROR(IF(OR(B314&amp;C314="PAU",B314&amp;C314="AIN"),VLOOKUP(B314&amp;C314&amp;G314,#REF!,8,0),VLOOKUP(B314&amp;G314,#REF!,8,0)),0)</f>
        <v>0</v>
      </c>
      <c r="Q314" s="15">
        <f t="shared" si="112"/>
        <v>0.25545361496607866</v>
      </c>
      <c r="R314" s="16" t="str">
        <f t="shared" si="98"/>
        <v>AOP</v>
      </c>
      <c r="S314" s="17">
        <f t="shared" si="99"/>
        <v>20390.563000207363</v>
      </c>
      <c r="T314" s="18" t="e">
        <f t="shared" si="100"/>
        <v>#DIV/0!</v>
      </c>
      <c r="U314" s="23" t="e">
        <f t="shared" si="95"/>
        <v>#DIV/0!</v>
      </c>
      <c r="Y314" s="8" t="str">
        <f t="shared" si="101"/>
        <v>PAUH66983H5.5FT</v>
      </c>
      <c r="Z314" s="8" t="str">
        <f>IF(Y314='Input - Bookings'!Q311,"OK","Check")</f>
        <v>Check</v>
      </c>
      <c r="AA314" s="139"/>
      <c r="AB314" s="103">
        <v>4903.6000000000004</v>
      </c>
      <c r="AC314" s="103">
        <v>0</v>
      </c>
      <c r="AD314" s="100"/>
      <c r="AE314" s="100">
        <v>31073.279999999999</v>
      </c>
      <c r="AF314" s="8" t="str">
        <f t="array" ref="AF314">_xlfn.XLOOKUP($G314,'AP Plants'!D:D,'AP Plants'!B:B)</f>
        <v>Class 5 NOT BT</v>
      </c>
      <c r="AG314" s="102">
        <f>(AE314*(1+VLOOKUP(J314,'Currency &amp; Conversion'!$F$12:$I$18,2,0))*'Currency &amp; Conversion'!$L$4)+((AB314+AC314)*90%)</f>
        <v>54480.820588032002</v>
      </c>
      <c r="AH314" s="102"/>
      <c r="AI314" s="44">
        <v>1.4999999999999999E-2</v>
      </c>
      <c r="AJ314" s="15">
        <f>_xlfn.XLOOKUP($AF314,Warranty!B:B,Warranty!E:E)</f>
        <v>5.0000000000000001E-3</v>
      </c>
      <c r="AK314" s="8">
        <f>IF($I314="AUD",VLOOKUP(RIGHT('Wk - Margins'!$G314,3),'AU Freight'!C:G,5,0),0)</f>
        <v>3860</v>
      </c>
      <c r="AL314" s="15">
        <f t="shared" si="109"/>
        <v>0</v>
      </c>
      <c r="AM314" s="61">
        <f t="shared" si="102"/>
        <v>59430.436999792633</v>
      </c>
      <c r="AN314" s="63">
        <f t="shared" si="110"/>
        <v>0.25545361496607866</v>
      </c>
      <c r="AQ314" s="147"/>
    </row>
    <row r="315" spans="1:43">
      <c r="A315" s="10" t="str">
        <f>'Input - Bookings'!A315</f>
        <v>10-19</v>
      </c>
      <c r="B315" s="11" t="str">
        <f>'Input - Bookings'!C315</f>
        <v>P</v>
      </c>
      <c r="C315" s="11" t="str">
        <f>'Input - Bookings'!H315</f>
        <v>AU</v>
      </c>
      <c r="D315" s="24" t="str">
        <f>'Input - Bookings'!E315</f>
        <v>065</v>
      </c>
      <c r="E315" s="24" t="str">
        <f>'Input - Bookings'!G315</f>
        <v>ADAPT-A-LIFT GROUP (WA)</v>
      </c>
      <c r="F315" s="24" t="str">
        <f>'Input - Bookings'!I315</f>
        <v>H66984</v>
      </c>
      <c r="G315" s="24" t="str">
        <f>'Input - Bookings'!L315</f>
        <v>U005</v>
      </c>
      <c r="H315" s="24" t="str">
        <f>'Input - Bookings'!M315</f>
        <v>H5.5FT</v>
      </c>
      <c r="I315" s="24" t="str">
        <f>'Input - Bookings'!B315</f>
        <v>AUD</v>
      </c>
      <c r="J315" s="13" t="str">
        <f>IF(I315="USD",INDEX('AP Plants'!A:A,MATCH(G315,'AP Plants'!D:D,0)),INDEX('Australia Plants'!A:A,MATCH(G315,'Australia Plants'!D:D,0)))</f>
        <v>Craigavon</v>
      </c>
      <c r="K315" s="73">
        <v>1</v>
      </c>
      <c r="L315" s="97">
        <v>103100</v>
      </c>
      <c r="M315" s="97">
        <v>79821</v>
      </c>
      <c r="N315" s="99">
        <v>0.25545361496607866</v>
      </c>
      <c r="O315" s="25">
        <f t="shared" si="97"/>
        <v>0.22579049466537338</v>
      </c>
      <c r="P315" s="14">
        <f>IFERROR(IF(OR(B315&amp;C315="PAU",B315&amp;C315="AIN"),VLOOKUP(B315&amp;C315&amp;G315,#REF!,8,0),VLOOKUP(B315&amp;G315,#REF!,8,0)),0)</f>
        <v>0</v>
      </c>
      <c r="Q315" s="15">
        <f t="shared" si="112"/>
        <v>0.25545361496607866</v>
      </c>
      <c r="R315" s="16" t="str">
        <f t="shared" si="98"/>
        <v>AOP</v>
      </c>
      <c r="S315" s="17">
        <f t="shared" si="99"/>
        <v>20390.563000207363</v>
      </c>
      <c r="T315" s="18" t="e">
        <f t="shared" si="100"/>
        <v>#DIV/0!</v>
      </c>
      <c r="U315" s="23" t="e">
        <f t="shared" si="95"/>
        <v>#DIV/0!</v>
      </c>
      <c r="Y315" s="8" t="str">
        <f t="shared" si="101"/>
        <v>PAUH66984H5.5FT</v>
      </c>
      <c r="Z315" s="8" t="str">
        <f>IF(Y315='Input - Bookings'!Q312,"OK","Check")</f>
        <v>Check</v>
      </c>
      <c r="AA315" s="139"/>
      <c r="AB315" s="103">
        <v>4903.6000000000004</v>
      </c>
      <c r="AC315" s="103">
        <v>0</v>
      </c>
      <c r="AD315" s="100"/>
      <c r="AE315" s="100">
        <v>31073.279999999999</v>
      </c>
      <c r="AF315" s="8" t="str">
        <f t="array" ref="AF315">_xlfn.XLOOKUP($G315,'AP Plants'!D:D,'AP Plants'!B:B)</f>
        <v>Class 5 NOT BT</v>
      </c>
      <c r="AG315" s="102">
        <f>(AE315*(1+VLOOKUP(J315,'Currency &amp; Conversion'!$F$12:$I$18,2,0))*'Currency &amp; Conversion'!$L$4)+((AB315+AC315)*90%)</f>
        <v>54480.820588032002</v>
      </c>
      <c r="AH315" s="102"/>
      <c r="AI315" s="44">
        <v>1.4999999999999999E-2</v>
      </c>
      <c r="AJ315" s="15">
        <f>_xlfn.XLOOKUP($AF315,Warranty!B:B,Warranty!E:E)</f>
        <v>5.0000000000000001E-3</v>
      </c>
      <c r="AK315" s="8">
        <f>IF($I315="AUD",VLOOKUP(RIGHT('Wk - Margins'!$G315,3),'AU Freight'!C:G,5,0),0)</f>
        <v>3860</v>
      </c>
      <c r="AL315" s="15">
        <f t="shared" si="109"/>
        <v>0</v>
      </c>
      <c r="AM315" s="61">
        <f t="shared" si="102"/>
        <v>59430.436999792633</v>
      </c>
      <c r="AN315" s="63">
        <f t="shared" si="110"/>
        <v>0.25545361496607866</v>
      </c>
      <c r="AQ315" s="147"/>
    </row>
    <row r="316" spans="1:43">
      <c r="A316" s="10" t="str">
        <f>'Input - Bookings'!A316</f>
        <v>10-19</v>
      </c>
      <c r="B316" s="11" t="str">
        <f>'Input - Bookings'!C316</f>
        <v>P</v>
      </c>
      <c r="C316" s="11" t="str">
        <f>'Input - Bookings'!H316</f>
        <v>AU</v>
      </c>
      <c r="D316" s="24" t="str">
        <f>'Input - Bookings'!E316</f>
        <v>065</v>
      </c>
      <c r="E316" s="24" t="str">
        <f>'Input - Bookings'!G316</f>
        <v>ADAPT-A-LIFT GROUP (WA)</v>
      </c>
      <c r="F316" s="24" t="str">
        <f>'Input - Bookings'!I316</f>
        <v>H66980</v>
      </c>
      <c r="G316" s="24" t="str">
        <f>'Input - Bookings'!L316</f>
        <v>A3C6</v>
      </c>
      <c r="H316" s="24" t="str">
        <f>'Input - Bookings'!M316</f>
        <v>H5.0UT</v>
      </c>
      <c r="I316" s="24" t="str">
        <f>'Input - Bookings'!B316</f>
        <v>AUD</v>
      </c>
      <c r="J316" s="13" t="str">
        <f>IF(I316="USD",INDEX('AP Plants'!A:A,MATCH(G316,'AP Plants'!D:D,0)),INDEX('Australia Plants'!A:A,MATCH(G316,'Australia Plants'!D:D,0)))</f>
        <v>Maximal</v>
      </c>
      <c r="K316" s="73">
        <v>1</v>
      </c>
      <c r="L316" s="97">
        <v>56940</v>
      </c>
      <c r="M316" s="97">
        <v>43170.25</v>
      </c>
      <c r="N316" s="99">
        <v>0.24775455443780947</v>
      </c>
      <c r="O316" s="25">
        <f t="shared" si="97"/>
        <v>0.24182911837021426</v>
      </c>
      <c r="P316" s="14">
        <f>IFERROR(IF(OR(B316&amp;C316="PAU",B316&amp;C316="AIN"),VLOOKUP(B316&amp;C316&amp;G316,#REF!,8,0),VLOOKUP(B316&amp;G316,#REF!,8,0)),0)</f>
        <v>0</v>
      </c>
      <c r="Q316" s="15">
        <f t="shared" si="112"/>
        <v>0.24775455443780947</v>
      </c>
      <c r="R316" s="16" t="str">
        <f t="shared" si="98"/>
        <v>AOP</v>
      </c>
      <c r="S316" s="17">
        <f t="shared" si="99"/>
        <v>10695.626053718845</v>
      </c>
      <c r="T316" s="18" t="e">
        <f t="shared" si="100"/>
        <v>#DIV/0!</v>
      </c>
      <c r="U316" s="23" t="e">
        <f t="shared" si="95"/>
        <v>#DIV/0!</v>
      </c>
      <c r="Y316" s="8" t="str">
        <f t="shared" si="101"/>
        <v>PAUH66980H5.0UT</v>
      </c>
      <c r="Z316" s="8" t="str">
        <f>IF(Y316='Input - Bookings'!Q313,"OK","Check")</f>
        <v>Check</v>
      </c>
      <c r="AA316" s="139"/>
      <c r="AB316" s="103"/>
      <c r="AC316" s="103"/>
      <c r="AD316" s="100">
        <v>20062.504902145884</v>
      </c>
      <c r="AE316" s="100"/>
      <c r="AF316" s="8" t="str">
        <f t="array" ref="AF316">_xlfn.XLOOKUP($G316,'AP Plants'!D:D,'AP Plants'!B:B)</f>
        <v>Class 5 NOT BT</v>
      </c>
      <c r="AG316" s="102">
        <f>AD316*'Currency &amp; Conversion'!$L$6</f>
        <v>29877.082300275652</v>
      </c>
      <c r="AH316" s="102"/>
      <c r="AI316" s="44">
        <v>1.4999999999999999E-2</v>
      </c>
      <c r="AJ316" s="15">
        <f>_xlfn.XLOOKUP($AF316,Warranty!B:B,Warranty!E:E)</f>
        <v>5.0000000000000001E-3</v>
      </c>
      <c r="AK316" s="8">
        <f>IF($I316="AUD",VLOOKUP(RIGHT('Wk - Margins'!$G316,3),'AU Freight'!C:G,5,0),0)</f>
        <v>2000</v>
      </c>
      <c r="AL316" s="15">
        <f t="shared" si="109"/>
        <v>0</v>
      </c>
      <c r="AM316" s="61">
        <f t="shared" si="102"/>
        <v>32474.623946281157</v>
      </c>
      <c r="AN316" s="63">
        <f t="shared" si="110"/>
        <v>0.24775455443780947</v>
      </c>
      <c r="AQ316" s="147"/>
    </row>
    <row r="317" spans="1:43">
      <c r="A317" s="10" t="str">
        <f>'Input - Bookings'!A317</f>
        <v>10-19</v>
      </c>
      <c r="B317" s="11" t="str">
        <f>'Input - Bookings'!C317</f>
        <v>P</v>
      </c>
      <c r="C317" s="11" t="str">
        <f>'Input - Bookings'!H317</f>
        <v>AU</v>
      </c>
      <c r="D317" s="24" t="str">
        <f>'Input - Bookings'!E317</f>
        <v>067</v>
      </c>
      <c r="E317" s="24" t="str">
        <f>'Input - Bookings'!G317</f>
        <v>SOUTH QUEENSLAND HANDLING</v>
      </c>
      <c r="F317" s="24" t="str">
        <f>'Input - Bookings'!I317</f>
        <v>H66970</v>
      </c>
      <c r="G317" s="24" t="str">
        <f>'Input - Bookings'!L317</f>
        <v>A7T0</v>
      </c>
      <c r="H317" s="24" t="str">
        <f>'Input - Bookings'!M317</f>
        <v>GP70UX6</v>
      </c>
      <c r="I317" s="24" t="str">
        <f>'Input - Bookings'!B317</f>
        <v>AUD</v>
      </c>
      <c r="J317" s="13" t="str">
        <f>IF(I317="USD",INDEX('AP Plants'!A:A,MATCH(G317,'AP Plants'!D:D,0)),INDEX('Australia Plants'!A:A,MATCH(G317,'Australia Plants'!D:D,0)))</f>
        <v>Maximal</v>
      </c>
      <c r="K317" s="73">
        <v>1</v>
      </c>
      <c r="L317" s="97">
        <v>86405</v>
      </c>
      <c r="M317" s="97">
        <v>63499.199999999997</v>
      </c>
      <c r="N317" s="99">
        <v>0.34873496127634529</v>
      </c>
      <c r="O317" s="25">
        <f t="shared" si="97"/>
        <v>0.26509808460158557</v>
      </c>
      <c r="P317" s="14">
        <f>IFERROR(IF(OR(B317&amp;C317="PAU",B317&amp;C317="AIN"),VLOOKUP(B317&amp;C317&amp;G317,#REF!,8,0),VLOOKUP(B317&amp;G317,#REF!,8,0)),0)</f>
        <v>0</v>
      </c>
      <c r="Q317" s="15">
        <f t="shared" si="112"/>
        <v>0.34873496127634529</v>
      </c>
      <c r="R317" s="16" t="str">
        <f t="shared" si="98"/>
        <v>AOP</v>
      </c>
      <c r="S317" s="17">
        <f t="shared" si="99"/>
        <v>22144.391053078903</v>
      </c>
      <c r="T317" s="18" t="e">
        <f t="shared" si="100"/>
        <v>#DIV/0!</v>
      </c>
      <c r="U317" s="23" t="e">
        <f t="shared" si="95"/>
        <v>#DIV/0!</v>
      </c>
      <c r="Y317" s="8" t="str">
        <f t="shared" si="101"/>
        <v>PAUH66970GP70UX6</v>
      </c>
      <c r="Z317" s="8" t="str">
        <f>IF(Y317='Input - Bookings'!Q314,"OK","Check")</f>
        <v>Check</v>
      </c>
      <c r="AA317" s="139"/>
      <c r="AB317" s="103"/>
      <c r="AC317" s="103"/>
      <c r="AD317" s="100">
        <v>25908.639555730075</v>
      </c>
      <c r="AE317" s="100"/>
      <c r="AF317" s="8" t="str">
        <f t="array" ref="AF317">_xlfn.XLOOKUP($G317,'AP Plants'!D:D,'AP Plants'!B:B)</f>
        <v>Class 5 NOT BT</v>
      </c>
      <c r="AG317" s="102">
        <f>AD317*'Currency &amp; Conversion'!$L$6</f>
        <v>38583.146026393231</v>
      </c>
      <c r="AH317" s="102"/>
      <c r="AI317" s="44">
        <v>1.4999999999999999E-2</v>
      </c>
      <c r="AJ317" s="15">
        <f>_xlfn.XLOOKUP($AF317,Warranty!B:B,Warranty!E:E)</f>
        <v>5.0000000000000001E-3</v>
      </c>
      <c r="AK317" s="8">
        <f>IF($I317="AUD",VLOOKUP(RIGHT('Wk - Margins'!$G317,3),'AU Freight'!C:G,5,0),0)</f>
        <v>2000</v>
      </c>
      <c r="AL317" s="15">
        <f t="shared" si="109"/>
        <v>0</v>
      </c>
      <c r="AM317" s="61">
        <f t="shared" si="102"/>
        <v>41354.80894692109</v>
      </c>
      <c r="AN317" s="63">
        <f t="shared" si="110"/>
        <v>0.34873496127634529</v>
      </c>
      <c r="AQ317" s="147"/>
    </row>
    <row r="318" spans="1:43">
      <c r="A318" s="10" t="str">
        <f>'Input - Bookings'!A318</f>
        <v>10-19</v>
      </c>
      <c r="B318" s="11" t="str">
        <f>'Input - Bookings'!C318</f>
        <v>P</v>
      </c>
      <c r="C318" s="11" t="str">
        <f>'Input - Bookings'!H318</f>
        <v>NZ</v>
      </c>
      <c r="D318" s="24" t="str">
        <f>'Input - Bookings'!E318</f>
        <v>067</v>
      </c>
      <c r="E318" s="24" t="str">
        <f>'Input - Bookings'!G318</f>
        <v>S.G EQUIPMENT LTD</v>
      </c>
      <c r="F318" s="24" t="str">
        <f>'Input - Bookings'!I318</f>
        <v>H67314</v>
      </c>
      <c r="G318" s="24" t="str">
        <f>'Input - Bookings'!L318</f>
        <v>E861</v>
      </c>
      <c r="H318" s="24" t="str">
        <f>'Input - Bookings'!M318</f>
        <v>NDR035EC</v>
      </c>
      <c r="I318" s="24" t="str">
        <f>'Input - Bookings'!B318</f>
        <v>USD</v>
      </c>
      <c r="J318" s="13" t="str">
        <f>IF(I318="USD",INDEX('AP Plants'!A:A,MATCH(G318,'AP Plants'!D:D,0)),INDEX('Australia Plants'!A:A,MATCH(G318,'Australia Plants'!D:D,0)))</f>
        <v>Greenville</v>
      </c>
      <c r="K318" s="73">
        <v>1</v>
      </c>
      <c r="L318" s="97">
        <v>65918</v>
      </c>
      <c r="M318" s="97">
        <v>48354.400000000001</v>
      </c>
      <c r="N318" s="99">
        <v>0.12381339535779079</v>
      </c>
      <c r="O318" s="25">
        <f t="shared" si="97"/>
        <v>0.26644619072180586</v>
      </c>
      <c r="P318" s="14">
        <f>IFERROR(IF(OR(B318&amp;C318="PAU",B318&amp;C318="AIN"),VLOOKUP(B318&amp;C318&amp;G318,#REF!,8,0),VLOOKUP(B318&amp;G318,#REF!,8,0)),0)</f>
        <v>0</v>
      </c>
      <c r="Q318" s="15">
        <f t="shared" si="112"/>
        <v>0.12381339535779079</v>
      </c>
      <c r="R318" s="16" t="str">
        <f t="shared" si="98"/>
        <v>AOP</v>
      </c>
      <c r="S318" s="17">
        <f t="shared" si="99"/>
        <v>5986.9224444887595</v>
      </c>
      <c r="T318" s="18">
        <f t="shared" si="100"/>
        <v>5986.9224444887595</v>
      </c>
      <c r="U318" s="23">
        <f t="shared" si="95"/>
        <v>48354.400000000001</v>
      </c>
      <c r="Y318" s="8" t="str">
        <f t="shared" si="101"/>
        <v>PNZH67314NDR035EC</v>
      </c>
      <c r="Z318" s="8" t="str">
        <f>IF(Y318='Input - Bookings'!Q315,"OK","Check")</f>
        <v>Check</v>
      </c>
      <c r="AA318" s="139"/>
      <c r="AB318" s="103">
        <v>0</v>
      </c>
      <c r="AC318" s="103">
        <v>0</v>
      </c>
      <c r="AD318" s="100">
        <v>41096.486516999998</v>
      </c>
      <c r="AE318" s="98"/>
      <c r="AF318" s="8" t="str">
        <f t="array" ref="AF318">_xlfn.XLOOKUP($G318,'AP Plants'!D:D,'AP Plants'!B:B)</f>
        <v>Class 2</v>
      </c>
      <c r="AG318" s="102"/>
      <c r="AH318" s="102">
        <f>(AD318*(1+VLOOKUP(J318,'Currency &amp; Conversion'!$F$12:$I$18,2,0)))+((AB318+AC318)*90%)</f>
        <v>41133.473354865295</v>
      </c>
      <c r="AI318" s="44">
        <v>1.4999999999999999E-2</v>
      </c>
      <c r="AJ318" s="15">
        <f>_xlfn.XLOOKUP($AF318,Warranty!B:B,Warranty!E:E)</f>
        <v>1.4999999999999999E-2</v>
      </c>
      <c r="AK318" s="8">
        <f>IF($I318="AUD",VLOOKUP(RIGHT('Wk - Margins'!$G318,3),'AU Freight'!C:G,5,0),0)</f>
        <v>0</v>
      </c>
      <c r="AL318" s="15">
        <f t="shared" si="109"/>
        <v>0</v>
      </c>
      <c r="AM318" s="61">
        <f t="shared" si="102"/>
        <v>42367.477555511243</v>
      </c>
      <c r="AN318" s="63">
        <f t="shared" si="110"/>
        <v>0.12381339535779079</v>
      </c>
      <c r="AQ318" s="147"/>
    </row>
    <row r="319" spans="1:43">
      <c r="A319" s="10" t="str">
        <f>'Input - Bookings'!A319</f>
        <v>10-19</v>
      </c>
      <c r="B319" s="11" t="str">
        <f>'Input - Bookings'!C319</f>
        <v>P</v>
      </c>
      <c r="C319" s="11" t="str">
        <f>'Input - Bookings'!H319</f>
        <v>NZ</v>
      </c>
      <c r="D319" s="24" t="str">
        <f>'Input - Bookings'!E319</f>
        <v>067</v>
      </c>
      <c r="E319" s="24" t="str">
        <f>'Input - Bookings'!G319</f>
        <v>S.G EQUIPMENT LTD</v>
      </c>
      <c r="F319" s="24" t="str">
        <f>'Input - Bookings'!I319</f>
        <v>H67317</v>
      </c>
      <c r="G319" s="24" t="str">
        <f>'Input - Bookings'!L319</f>
        <v>G807</v>
      </c>
      <c r="H319" s="24" t="str">
        <f>'Input - Bookings'!M319</f>
        <v>ERP18VT</v>
      </c>
      <c r="I319" s="24" t="str">
        <f>'Input - Bookings'!B319</f>
        <v>USD</v>
      </c>
      <c r="J319" s="13" t="str">
        <f>IF(I319="USD",INDEX('AP Plants'!A:A,MATCH(G319,'AP Plants'!D:D,0)),INDEX('Australia Plants'!A:A,MATCH(G319,'Australia Plants'!D:D,0)))</f>
        <v>Greenville</v>
      </c>
      <c r="K319" s="73">
        <v>1</v>
      </c>
      <c r="L319" s="97">
        <v>35110</v>
      </c>
      <c r="M319" s="97">
        <v>26615.86</v>
      </c>
      <c r="N319" s="99">
        <v>0.18914975047408999</v>
      </c>
      <c r="O319" s="25">
        <f t="shared" si="97"/>
        <v>0.24192936485331817</v>
      </c>
      <c r="P319" s="14">
        <f>IFERROR(IF(OR(B319&amp;C319="PAU",B319&amp;C319="AIN"),VLOOKUP(B319&amp;C319&amp;G319,#REF!,8,0),VLOOKUP(B319&amp;G319,#REF!,8,0)),0)</f>
        <v>0</v>
      </c>
      <c r="Q319" s="15">
        <f t="shared" si="112"/>
        <v>0.18914975047408999</v>
      </c>
      <c r="R319" s="16" t="str">
        <f t="shared" si="98"/>
        <v>AOP</v>
      </c>
      <c r="S319" s="17">
        <f t="shared" si="99"/>
        <v>5034.3832776533127</v>
      </c>
      <c r="T319" s="18">
        <f t="shared" si="100"/>
        <v>5034.3832776533127</v>
      </c>
      <c r="U319" s="23">
        <f t="shared" si="95"/>
        <v>26615.86</v>
      </c>
      <c r="Y319" s="8" t="str">
        <f t="shared" si="101"/>
        <v>PNZH67317ERP18VT</v>
      </c>
      <c r="Z319" s="8" t="str">
        <f>IF(Y319='Input - Bookings'!Q316,"OK","Check")</f>
        <v>Check</v>
      </c>
      <c r="AA319" s="139"/>
      <c r="AB319" s="103">
        <v>1943.4</v>
      </c>
      <c r="AC319" s="103">
        <v>0</v>
      </c>
      <c r="AD319" s="100">
        <v>19391.797893999999</v>
      </c>
      <c r="AE319" s="100"/>
      <c r="AF319" s="8" t="str">
        <f t="array" ref="AF319">_xlfn.XLOOKUP($G319,'AP Plants'!D:D,'AP Plants'!B:B)</f>
        <v>Class 1</v>
      </c>
      <c r="AG319" s="102"/>
      <c r="AH319" s="102">
        <f>(AD319*(1+VLOOKUP(J319,'Currency &amp; Conversion'!$F$12:$I$18,2,0)))+((AB319+AC319)*90%)</f>
        <v>21158.310512104599</v>
      </c>
      <c r="AI319" s="44">
        <v>1.4999999999999999E-2</v>
      </c>
      <c r="AJ319" s="15">
        <f>_xlfn.XLOOKUP($AF319,Warranty!B:B,Warranty!E:E)</f>
        <v>5.0000000000000001E-3</v>
      </c>
      <c r="AK319" s="8">
        <f>IF($I319="AUD",VLOOKUP(RIGHT('Wk - Margins'!$G319,3),'AU Freight'!C:G,5,0),0)</f>
        <v>0</v>
      </c>
      <c r="AL319" s="15">
        <f t="shared" si="109"/>
        <v>0</v>
      </c>
      <c r="AM319" s="61">
        <f t="shared" si="102"/>
        <v>21581.476722346688</v>
      </c>
      <c r="AN319" s="63">
        <f t="shared" si="110"/>
        <v>0.18914975047408999</v>
      </c>
      <c r="AQ319" s="147"/>
    </row>
    <row r="320" spans="1:43">
      <c r="A320" s="10" t="str">
        <f>'Input - Bookings'!A320</f>
        <v>10-19</v>
      </c>
      <c r="B320" s="11" t="str">
        <f>'Input - Bookings'!C320</f>
        <v>P</v>
      </c>
      <c r="C320" s="11" t="str">
        <f>'Input - Bookings'!H320</f>
        <v>NZ</v>
      </c>
      <c r="D320" s="24" t="str">
        <f>'Input - Bookings'!E320</f>
        <v>067</v>
      </c>
      <c r="E320" s="24" t="str">
        <f>'Input - Bookings'!G320</f>
        <v>S.G EQUIPMENT LTD</v>
      </c>
      <c r="F320" s="24" t="str">
        <f>'Input - Bookings'!I320</f>
        <v>H67316</v>
      </c>
      <c r="G320" s="24" t="str">
        <f>'Input - Bookings'!L320</f>
        <v>G807</v>
      </c>
      <c r="H320" s="24" t="str">
        <f>'Input - Bookings'!M320</f>
        <v>ERP18VT</v>
      </c>
      <c r="I320" s="24" t="str">
        <f>'Input - Bookings'!B320</f>
        <v>USD</v>
      </c>
      <c r="J320" s="13" t="str">
        <f>IF(I320="USD",INDEX('AP Plants'!A:A,MATCH(G320,'AP Plants'!D:D,0)),INDEX('Australia Plants'!A:A,MATCH(G320,'Australia Plants'!D:D,0)))</f>
        <v>Greenville</v>
      </c>
      <c r="K320" s="73">
        <v>1</v>
      </c>
      <c r="L320" s="97">
        <v>35695</v>
      </c>
      <c r="M320" s="97">
        <v>27078.01</v>
      </c>
      <c r="N320" s="99">
        <v>0.19609036848184858</v>
      </c>
      <c r="O320" s="25">
        <f t="shared" si="97"/>
        <v>0.24140607928281277</v>
      </c>
      <c r="P320" s="14">
        <f>IFERROR(IF(OR(B320&amp;C320="PAU",B320&amp;C320="AIN"),VLOOKUP(B320&amp;C320&amp;G320,#REF!,8,0),VLOOKUP(B320&amp;G320,#REF!,8,0)),0)</f>
        <v>0</v>
      </c>
      <c r="Q320" s="15">
        <f t="shared" si="112"/>
        <v>0.19609036848184858</v>
      </c>
      <c r="R320" s="16" t="str">
        <f t="shared" si="98"/>
        <v>AOP</v>
      </c>
      <c r="S320" s="17">
        <f t="shared" si="99"/>
        <v>5309.7369586551804</v>
      </c>
      <c r="T320" s="18">
        <f t="shared" si="100"/>
        <v>5309.7369586551804</v>
      </c>
      <c r="U320" s="23">
        <f t="shared" si="95"/>
        <v>27078.01</v>
      </c>
      <c r="Y320" s="8" t="str">
        <f t="shared" si="101"/>
        <v>PNZH67316ERP18VT</v>
      </c>
      <c r="Z320" s="8" t="str">
        <f>IF(Y320='Input - Bookings'!Q317,"OK","Check")</f>
        <v>Check</v>
      </c>
      <c r="AA320" s="139"/>
      <c r="AB320" s="103">
        <v>1943.4</v>
      </c>
      <c r="AC320" s="103">
        <v>0</v>
      </c>
      <c r="AD320" s="100">
        <v>19574.766867999999</v>
      </c>
      <c r="AE320" s="110"/>
      <c r="AF320" s="8" t="str">
        <f t="array" ref="AF320">_xlfn.XLOOKUP($G320,'AP Plants'!D:D,'AP Plants'!B:B)</f>
        <v>Class 1</v>
      </c>
      <c r="AG320" s="102"/>
      <c r="AH320" s="102">
        <f>(AD320*(1+VLOOKUP(J320,'Currency &amp; Conversion'!$F$12:$I$18,2,0)))+((AB320+AC320)*90%)</f>
        <v>21341.444158181199</v>
      </c>
      <c r="AI320" s="44">
        <v>1.4999999999999999E-2</v>
      </c>
      <c r="AJ320" s="15">
        <f>_xlfn.XLOOKUP($AF320,Warranty!B:B,Warranty!E:E)</f>
        <v>5.0000000000000001E-3</v>
      </c>
      <c r="AK320" s="8">
        <f>IF($I320="AUD",VLOOKUP(RIGHT('Wk - Margins'!$G320,3),'AU Freight'!C:G,5,0),0)</f>
        <v>0</v>
      </c>
      <c r="AL320" s="15">
        <f t="shared" si="109"/>
        <v>0</v>
      </c>
      <c r="AM320" s="61">
        <f t="shared" si="102"/>
        <v>21768.273041344819</v>
      </c>
      <c r="AN320" s="63">
        <f t="shared" si="110"/>
        <v>0.19609036848184858</v>
      </c>
      <c r="AQ320" s="147"/>
    </row>
    <row r="321" spans="1:43">
      <c r="A321" s="10" t="str">
        <f>'Input - Bookings'!A321</f>
        <v>10-19</v>
      </c>
      <c r="B321" s="11" t="str">
        <f>'Input - Bookings'!C321</f>
        <v>P</v>
      </c>
      <c r="C321" s="11" t="str">
        <f>'Input - Bookings'!H321</f>
        <v>NZ</v>
      </c>
      <c r="D321" s="24" t="str">
        <f>'Input - Bookings'!E321</f>
        <v>067</v>
      </c>
      <c r="E321" s="24" t="str">
        <f>'Input - Bookings'!G321</f>
        <v>S.G EQUIPMENT LTD</v>
      </c>
      <c r="F321" s="24" t="str">
        <f>'Input - Bookings'!I321</f>
        <v>H67324</v>
      </c>
      <c r="G321" s="24" t="str">
        <f>'Input - Bookings'!L321</f>
        <v>G807</v>
      </c>
      <c r="H321" s="24" t="str">
        <f>'Input - Bookings'!M321</f>
        <v>ERP18VT</v>
      </c>
      <c r="I321" s="24" t="str">
        <f>'Input - Bookings'!B321</f>
        <v>USD</v>
      </c>
      <c r="J321" s="13" t="str">
        <f>IF(I321="USD",INDEX('AP Plants'!A:A,MATCH(G321,'AP Plants'!D:D,0)),INDEX('Australia Plants'!A:A,MATCH(G321,'Australia Plants'!D:D,0)))</f>
        <v>Greenville</v>
      </c>
      <c r="K321" s="73">
        <v>1</v>
      </c>
      <c r="L321" s="97">
        <v>35695</v>
      </c>
      <c r="M321" s="97">
        <v>27078.01</v>
      </c>
      <c r="N321" s="99">
        <v>0.19609036848184858</v>
      </c>
      <c r="O321" s="25">
        <f t="shared" si="97"/>
        <v>0.24140607928281277</v>
      </c>
      <c r="P321" s="14">
        <f>IFERROR(IF(OR(B321&amp;C321="PAU",B321&amp;C321="AIN"),VLOOKUP(B321&amp;C321&amp;G321,#REF!,8,0),VLOOKUP(B321&amp;G321,#REF!,8,0)),0)</f>
        <v>0</v>
      </c>
      <c r="Q321" s="15">
        <f t="shared" si="112"/>
        <v>0.19609036848184858</v>
      </c>
      <c r="R321" s="16" t="str">
        <f t="shared" si="98"/>
        <v>AOP</v>
      </c>
      <c r="S321" s="17">
        <f t="shared" si="99"/>
        <v>5309.7369586551804</v>
      </c>
      <c r="T321" s="18">
        <f t="shared" si="100"/>
        <v>5309.7369586551804</v>
      </c>
      <c r="U321" s="23">
        <f t="shared" si="95"/>
        <v>27078.01</v>
      </c>
      <c r="Y321" s="8" t="str">
        <f t="shared" si="101"/>
        <v>PNZH67324ERP18VT</v>
      </c>
      <c r="Z321" s="8" t="str">
        <f>IF(Y321='Input - Bookings'!Q318,"OK","Check")</f>
        <v>Check</v>
      </c>
      <c r="AA321" s="139"/>
      <c r="AB321" s="103">
        <v>1943.4</v>
      </c>
      <c r="AC321" s="103">
        <v>0</v>
      </c>
      <c r="AD321" s="100">
        <v>19574.766867999999</v>
      </c>
      <c r="AE321" s="100"/>
      <c r="AF321" s="8" t="str">
        <f t="array" ref="AF321">_xlfn.XLOOKUP($G321,'AP Plants'!D:D,'AP Plants'!B:B)</f>
        <v>Class 1</v>
      </c>
      <c r="AG321" s="102"/>
      <c r="AH321" s="102">
        <f>(AD321*(1+VLOOKUP(J321,'Currency &amp; Conversion'!$F$12:$I$18,2,0)))+((AB321+AC321)*90%)</f>
        <v>21341.444158181199</v>
      </c>
      <c r="AI321" s="44">
        <v>1.4999999999999999E-2</v>
      </c>
      <c r="AJ321" s="15">
        <f>_xlfn.XLOOKUP($AF321,Warranty!B:B,Warranty!E:E)</f>
        <v>5.0000000000000001E-3</v>
      </c>
      <c r="AK321" s="8">
        <f>IF($I321="AUD",VLOOKUP(RIGHT('Wk - Margins'!$G321,3),'AU Freight'!C:G,5,0),0)</f>
        <v>0</v>
      </c>
      <c r="AL321" s="15">
        <f t="shared" si="109"/>
        <v>0</v>
      </c>
      <c r="AM321" s="61">
        <f t="shared" si="102"/>
        <v>21768.273041344819</v>
      </c>
      <c r="AN321" s="63">
        <f t="shared" si="110"/>
        <v>0.19609036848184858</v>
      </c>
      <c r="AQ321" s="147"/>
    </row>
    <row r="322" spans="1:43">
      <c r="A322" s="10" t="str">
        <f>'Input - Bookings'!A322</f>
        <v>10-19</v>
      </c>
      <c r="B322" s="11" t="str">
        <f>'Input - Bookings'!C322</f>
        <v>P</v>
      </c>
      <c r="C322" s="11" t="str">
        <f>'Input - Bookings'!H322</f>
        <v>NZ</v>
      </c>
      <c r="D322" s="24" t="str">
        <f>'Input - Bookings'!E322</f>
        <v>067</v>
      </c>
      <c r="E322" s="24" t="str">
        <f>'Input - Bookings'!G322</f>
        <v>S.G EQUIPMENT LTD</v>
      </c>
      <c r="F322" s="24" t="str">
        <f>'Input - Bookings'!I322</f>
        <v>H67319</v>
      </c>
      <c r="G322" s="24" t="str">
        <f>'Input - Bookings'!L322</f>
        <v>A968</v>
      </c>
      <c r="H322" s="24" t="str">
        <f>'Input - Bookings'!M322</f>
        <v>ERC055VG</v>
      </c>
      <c r="I322" s="24" t="str">
        <f>'Input - Bookings'!B322</f>
        <v>USD</v>
      </c>
      <c r="J322" s="13" t="str">
        <f>IF(I322="USD",INDEX('AP Plants'!A:A,MATCH(G322,'AP Plants'!D:D,0)),INDEX('Australia Plants'!A:A,MATCH(G322,'Australia Plants'!D:D,0)))</f>
        <v>Greenville</v>
      </c>
      <c r="K322" s="73">
        <v>1</v>
      </c>
      <c r="L322" s="97">
        <v>43925</v>
      </c>
      <c r="M322" s="97">
        <v>31716.080000000005</v>
      </c>
      <c r="N322" s="99">
        <v>0.16758938592206152</v>
      </c>
      <c r="O322" s="25">
        <f t="shared" si="97"/>
        <v>0.27794923164484908</v>
      </c>
      <c r="P322" s="14">
        <f>IFERROR(IF(OR(B322&amp;C322="PAU",B322&amp;C322="AIN"),VLOOKUP(B322&amp;C322&amp;G322,#REF!,8,0),VLOOKUP(B322&amp;G322,#REF!,8,0)),0)</f>
        <v>0</v>
      </c>
      <c r="Q322" s="15">
        <f t="shared" si="112"/>
        <v>0.16758938592206152</v>
      </c>
      <c r="R322" s="16" t="str">
        <f t="shared" si="98"/>
        <v>AOP</v>
      </c>
      <c r="S322" s="17">
        <f t="shared" si="99"/>
        <v>5315.2783710549775</v>
      </c>
      <c r="T322" s="18">
        <f t="shared" si="100"/>
        <v>5315.2783710549775</v>
      </c>
      <c r="U322" s="23">
        <f t="shared" si="95"/>
        <v>31716.080000000005</v>
      </c>
      <c r="Y322" s="8" t="str">
        <f t="shared" si="101"/>
        <v>PNZH67319ERC055VG</v>
      </c>
      <c r="Z322" s="8" t="str">
        <f>IF(Y322='Input - Bookings'!Q319,"OK","Check")</f>
        <v>Check</v>
      </c>
      <c r="AA322" s="139"/>
      <c r="AB322" s="103">
        <v>1148.4000000000001</v>
      </c>
      <c r="AC322" s="103">
        <v>0</v>
      </c>
      <c r="AD322" s="100">
        <v>24827.234340999999</v>
      </c>
      <c r="AE322" s="100"/>
      <c r="AF322" s="8" t="str">
        <f t="array" ref="AF322">_xlfn.XLOOKUP($G322,'AP Plants'!D:D,'AP Plants'!B:B)</f>
        <v>Class 1</v>
      </c>
      <c r="AG322" s="102"/>
      <c r="AH322" s="102">
        <f>(AD322*(1+VLOOKUP(J322,'Currency &amp; Conversion'!$F$12:$I$18,2,0)))+((AB322+AC322)*90%)</f>
        <v>25883.138851906897</v>
      </c>
      <c r="AI322" s="44">
        <v>1.4999999999999999E-2</v>
      </c>
      <c r="AJ322" s="15">
        <f>_xlfn.XLOOKUP($AF322,Warranty!B:B,Warranty!E:E)</f>
        <v>5.0000000000000001E-3</v>
      </c>
      <c r="AK322" s="8">
        <f>IF($I322="AUD",VLOOKUP(RIGHT('Wk - Margins'!$G322,3),'AU Freight'!C:G,5,0),0)</f>
        <v>0</v>
      </c>
      <c r="AL322" s="15">
        <f t="shared" si="109"/>
        <v>0</v>
      </c>
      <c r="AM322" s="61">
        <f t="shared" si="102"/>
        <v>26400.801628945028</v>
      </c>
      <c r="AN322" s="63">
        <f t="shared" si="110"/>
        <v>0.16758938592206152</v>
      </c>
      <c r="AQ322" s="147"/>
    </row>
    <row r="323" spans="1:43">
      <c r="A323" s="10" t="str">
        <f>'Input - Bookings'!A323</f>
        <v>10-19</v>
      </c>
      <c r="B323" s="11" t="str">
        <f>'Input - Bookings'!C323</f>
        <v>P</v>
      </c>
      <c r="C323" s="11" t="str">
        <f>'Input - Bookings'!H323</f>
        <v>NZ</v>
      </c>
      <c r="D323" s="24" t="str">
        <f>'Input - Bookings'!E323</f>
        <v>067</v>
      </c>
      <c r="E323" s="24" t="str">
        <f>'Input - Bookings'!G323</f>
        <v>S.G EQUIPMENT LTD</v>
      </c>
      <c r="F323" s="24" t="str">
        <f>'Input - Bookings'!I323</f>
        <v>H67320</v>
      </c>
      <c r="G323" s="24" t="str">
        <f>'Input - Bookings'!L323</f>
        <v>A968</v>
      </c>
      <c r="H323" s="24" t="str">
        <f>'Input - Bookings'!M323</f>
        <v>ERC065VG</v>
      </c>
      <c r="I323" s="24" t="str">
        <f>'Input - Bookings'!B323</f>
        <v>USD</v>
      </c>
      <c r="J323" s="13" t="str">
        <f>IF(I323="USD",INDEX('AP Plants'!A:A,MATCH(G323,'AP Plants'!D:D,0)),INDEX('Australia Plants'!A:A,MATCH(G323,'Australia Plants'!D:D,0)))</f>
        <v>Greenville</v>
      </c>
      <c r="K323" s="73">
        <v>1</v>
      </c>
      <c r="L323" s="97">
        <v>46065</v>
      </c>
      <c r="M323" s="97">
        <v>31225.29</v>
      </c>
      <c r="N323" s="99">
        <v>0.13370550748769106</v>
      </c>
      <c r="O323" s="25">
        <f t="shared" si="97"/>
        <v>0.32214718332790615</v>
      </c>
      <c r="P323" s="14">
        <f>IFERROR(IF(OR(B323&amp;C323="PAU",B323&amp;C323="AIN"),VLOOKUP(B323&amp;C323&amp;G323,#REF!,8,0),VLOOKUP(B323&amp;G323,#REF!,8,0)),0)</f>
        <v>0</v>
      </c>
      <c r="Q323" s="15">
        <f t="shared" si="112"/>
        <v>0.13370550748769106</v>
      </c>
      <c r="R323" s="16" t="str">
        <f t="shared" si="98"/>
        <v>AOP</v>
      </c>
      <c r="S323" s="17">
        <f t="shared" si="99"/>
        <v>4174.9932459003248</v>
      </c>
      <c r="T323" s="18">
        <f t="shared" si="100"/>
        <v>4174.9932459003248</v>
      </c>
      <c r="U323" s="23">
        <f t="shared" ref="U323:U386" si="113">IF(I323="USD",M323,M323/$X$6)</f>
        <v>31225.29</v>
      </c>
      <c r="Y323" s="8" t="str">
        <f t="shared" si="101"/>
        <v>PNZH67320ERC065VG</v>
      </c>
      <c r="Z323" s="8" t="str">
        <f>IF(Y323='Input - Bookings'!Q320,"OK","Check")</f>
        <v>Check</v>
      </c>
      <c r="AA323" s="139"/>
      <c r="AB323" s="103">
        <v>1148.4000000000001</v>
      </c>
      <c r="AC323" s="103">
        <v>0</v>
      </c>
      <c r="AD323" s="100">
        <v>25463.421698999999</v>
      </c>
      <c r="AE323" s="100"/>
      <c r="AF323" s="8" t="str">
        <f t="array" ref="AF323">_xlfn.XLOOKUP($G323,'AP Plants'!D:D,'AP Plants'!B:B)</f>
        <v>Class 1</v>
      </c>
      <c r="AG323" s="102"/>
      <c r="AH323" s="102">
        <f>(AD323*(1+VLOOKUP(J323,'Currency &amp; Conversion'!$F$12:$I$18,2,0)))+((AB323+AC323)*90%)</f>
        <v>26519.898778529099</v>
      </c>
      <c r="AI323" s="44">
        <v>1.4999999999999999E-2</v>
      </c>
      <c r="AJ323" s="15">
        <f>_xlfn.XLOOKUP($AF323,Warranty!B:B,Warranty!E:E)</f>
        <v>5.0000000000000001E-3</v>
      </c>
      <c r="AK323" s="8">
        <f>IF($I323="AUD",VLOOKUP(RIGHT('Wk - Margins'!$G323,3),'AU Freight'!C:G,5,0),0)</f>
        <v>0</v>
      </c>
      <c r="AL323" s="15">
        <f t="shared" si="109"/>
        <v>0</v>
      </c>
      <c r="AM323" s="61">
        <f t="shared" si="102"/>
        <v>27050.296754099676</v>
      </c>
      <c r="AN323" s="63">
        <f t="shared" si="110"/>
        <v>0.13370550748769106</v>
      </c>
      <c r="AQ323" s="147"/>
    </row>
    <row r="324" spans="1:43">
      <c r="A324" s="10" t="str">
        <f>'Input - Bookings'!A324</f>
        <v>10-19</v>
      </c>
      <c r="B324" s="11" t="str">
        <f>'Input - Bookings'!C324</f>
        <v>P</v>
      </c>
      <c r="C324" s="11" t="str">
        <f>'Input - Bookings'!H324</f>
        <v>NZ</v>
      </c>
      <c r="D324" s="24" t="str">
        <f>'Input - Bookings'!E324</f>
        <v>067</v>
      </c>
      <c r="E324" s="24" t="str">
        <f>'Input - Bookings'!G324</f>
        <v>S.G EQUIPMENT LTD</v>
      </c>
      <c r="F324" s="24" t="str">
        <f>'Input - Bookings'!I324</f>
        <v>H67321</v>
      </c>
      <c r="G324" s="24" t="str">
        <f>'Input - Bookings'!L324</f>
        <v>A968</v>
      </c>
      <c r="H324" s="24" t="str">
        <f>'Input - Bookings'!M324</f>
        <v>ERC065VG</v>
      </c>
      <c r="I324" s="24" t="str">
        <f>'Input - Bookings'!B324</f>
        <v>USD</v>
      </c>
      <c r="J324" s="13" t="str">
        <f>IF(I324="USD",INDEX('AP Plants'!A:A,MATCH(G324,'AP Plants'!D:D,0)),INDEX('Australia Plants'!A:A,MATCH(G324,'Australia Plants'!D:D,0)))</f>
        <v>Greenville</v>
      </c>
      <c r="K324" s="73">
        <v>1</v>
      </c>
      <c r="L324" s="97">
        <v>46860</v>
      </c>
      <c r="M324" s="97">
        <v>31981.94</v>
      </c>
      <c r="N324" s="99">
        <v>0.14650819189655773</v>
      </c>
      <c r="O324" s="25">
        <f t="shared" si="97"/>
        <v>0.31750021340162193</v>
      </c>
      <c r="P324" s="14">
        <f>IFERROR(IF(OR(B324&amp;C324="PAU",B324&amp;C324="AIN"),VLOOKUP(B324&amp;C324&amp;G324,#REF!,8,0),VLOOKUP(B324&amp;G324,#REF!,8,0)),0)</f>
        <v>0</v>
      </c>
      <c r="Q324" s="15">
        <f t="shared" si="112"/>
        <v>0.14650819189655773</v>
      </c>
      <c r="R324" s="16" t="str">
        <f t="shared" si="98"/>
        <v>AOP</v>
      </c>
      <c r="S324" s="17">
        <f t="shared" si="99"/>
        <v>4685.6162027441951</v>
      </c>
      <c r="T324" s="18">
        <f t="shared" si="100"/>
        <v>4685.6162027441951</v>
      </c>
      <c r="U324" s="23">
        <f t="shared" si="113"/>
        <v>31981.94</v>
      </c>
      <c r="Y324" s="8" t="str">
        <f t="shared" si="101"/>
        <v>PNZH67321ERC065VG</v>
      </c>
      <c r="Z324" s="8" t="str">
        <f>IF(Y324='Input - Bookings'!Q321,"OK","Check")</f>
        <v>Check</v>
      </c>
      <c r="AA324" s="139"/>
      <c r="AB324" s="103">
        <v>1148.4000000000001</v>
      </c>
      <c r="AC324" s="103">
        <v>0</v>
      </c>
      <c r="AD324" s="100">
        <v>25704.407794999999</v>
      </c>
      <c r="AE324" s="100"/>
      <c r="AF324" s="8" t="str">
        <f t="array" ref="AF324">_xlfn.XLOOKUP($G324,'AP Plants'!D:D,'AP Plants'!B:B)</f>
        <v>Class 1</v>
      </c>
      <c r="AG324" s="102"/>
      <c r="AH324" s="102">
        <f>(AD324*(1+VLOOKUP(J324,'Currency &amp; Conversion'!$F$12:$I$18,2,0)))+((AB324+AC324)*90%)</f>
        <v>26761.101762015496</v>
      </c>
      <c r="AI324" s="44">
        <v>1.4999999999999999E-2</v>
      </c>
      <c r="AJ324" s="15">
        <f>_xlfn.XLOOKUP($AF324,Warranty!B:B,Warranty!E:E)</f>
        <v>5.0000000000000001E-3</v>
      </c>
      <c r="AK324" s="8">
        <f>IF($I324="AUD",VLOOKUP(RIGHT('Wk - Margins'!$G324,3),'AU Freight'!C:G,5,0),0)</f>
        <v>0</v>
      </c>
      <c r="AL324" s="15">
        <f t="shared" si="109"/>
        <v>0</v>
      </c>
      <c r="AM324" s="61">
        <f t="shared" si="102"/>
        <v>27296.323797255802</v>
      </c>
      <c r="AN324" s="63">
        <f t="shared" si="110"/>
        <v>0.14650819189655773</v>
      </c>
      <c r="AQ324" s="147"/>
    </row>
    <row r="325" spans="1:43">
      <c r="A325" s="10" t="str">
        <f>'Input - Bookings'!A325</f>
        <v>10-19</v>
      </c>
      <c r="B325" s="11" t="str">
        <f>'Input - Bookings'!C325</f>
        <v>P</v>
      </c>
      <c r="C325" s="11" t="str">
        <f>'Input - Bookings'!H325</f>
        <v>NZ</v>
      </c>
      <c r="D325" s="24" t="str">
        <f>'Input - Bookings'!E325</f>
        <v>067</v>
      </c>
      <c r="E325" s="24" t="str">
        <f>'Input - Bookings'!G325</f>
        <v>S.G EQUIPMENT LTD</v>
      </c>
      <c r="F325" s="24" t="str">
        <f>'Input - Bookings'!I325</f>
        <v>H67322</v>
      </c>
      <c r="G325" s="24" t="str">
        <f>'Input - Bookings'!L325</f>
        <v>A968</v>
      </c>
      <c r="H325" s="24" t="str">
        <f>'Input - Bookings'!M325</f>
        <v>ERC065VG</v>
      </c>
      <c r="I325" s="24" t="str">
        <f>'Input - Bookings'!B325</f>
        <v>USD</v>
      </c>
      <c r="J325" s="13" t="str">
        <f>IF(I325="USD",INDEX('AP Plants'!A:A,MATCH(G325,'AP Plants'!D:D,0)),INDEX('Australia Plants'!A:A,MATCH(G325,'Australia Plants'!D:D,0)))</f>
        <v>Greenville</v>
      </c>
      <c r="K325" s="73">
        <v>1</v>
      </c>
      <c r="L325" s="97">
        <v>48170</v>
      </c>
      <c r="M325" s="97">
        <v>33511.64</v>
      </c>
      <c r="N325" s="99">
        <v>0.19982441396143724</v>
      </c>
      <c r="O325" s="25">
        <f t="shared" si="97"/>
        <v>0.30430475399626322</v>
      </c>
      <c r="P325" s="14">
        <f>IFERROR(IF(OR(B325&amp;C325="PAU",B325&amp;C325="AIN"),VLOOKUP(B325&amp;C325&amp;G325,#REF!,8,0),VLOOKUP(B325&amp;G325,#REF!,8,0)),0)</f>
        <v>0</v>
      </c>
      <c r="Q325" s="15">
        <f t="shared" si="112"/>
        <v>0.19982441396143724</v>
      </c>
      <c r="R325" s="16" t="str">
        <f t="shared" si="98"/>
        <v>AOP</v>
      </c>
      <c r="S325" s="17">
        <f t="shared" si="99"/>
        <v>6696.4438238866587</v>
      </c>
      <c r="T325" s="18">
        <f t="shared" si="100"/>
        <v>6696.4438238866587</v>
      </c>
      <c r="U325" s="23">
        <f t="shared" si="113"/>
        <v>33511.64</v>
      </c>
      <c r="Y325" s="8" t="str">
        <f t="shared" si="101"/>
        <v>PNZH67322ERC065VG</v>
      </c>
      <c r="Z325" s="8" t="str">
        <f>IF(Y325='Input - Bookings'!Q322,"OK","Check")</f>
        <v>Check</v>
      </c>
      <c r="AA325" s="139"/>
      <c r="AB325" s="103">
        <v>1148.4000000000001</v>
      </c>
      <c r="AC325" s="103">
        <v>4044</v>
      </c>
      <c r="AD325" s="100">
        <v>21596.810885999999</v>
      </c>
      <c r="AE325" s="100"/>
      <c r="AF325" s="8" t="str">
        <f t="array" ref="AF325">_xlfn.XLOOKUP($G325,'AP Plants'!D:D,'AP Plants'!B:B)</f>
        <v>Class 1</v>
      </c>
      <c r="AG325" s="102"/>
      <c r="AH325" s="102">
        <f>(AD325*(1+VLOOKUP(J325,'Currency &amp; Conversion'!$F$12:$I$18,2,0)))+((AB325+AC325)*90%)</f>
        <v>26289.408015797399</v>
      </c>
      <c r="AI325" s="44">
        <v>1.4999999999999999E-2</v>
      </c>
      <c r="AJ325" s="15">
        <f>_xlfn.XLOOKUP($AF325,Warranty!B:B,Warranty!E:E)</f>
        <v>5.0000000000000001E-3</v>
      </c>
      <c r="AK325" s="8">
        <f>IF($I325="AUD",VLOOKUP(RIGHT('Wk - Margins'!$G325,3),'AU Freight'!C:G,5,0),0)</f>
        <v>0</v>
      </c>
      <c r="AL325" s="15">
        <f t="shared" si="109"/>
        <v>0</v>
      </c>
      <c r="AM325" s="61">
        <f t="shared" si="102"/>
        <v>26815.196176113343</v>
      </c>
      <c r="AN325" s="63">
        <f t="shared" si="110"/>
        <v>0.19982441396143724</v>
      </c>
      <c r="AQ325" s="147"/>
    </row>
    <row r="326" spans="1:43">
      <c r="A326" s="10" t="str">
        <f>'Input - Bookings'!A326</f>
        <v>10-19</v>
      </c>
      <c r="B326" s="11" t="str">
        <f>'Input - Bookings'!C326</f>
        <v>P</v>
      </c>
      <c r="C326" s="11" t="str">
        <f>'Input - Bookings'!H326</f>
        <v>NZ</v>
      </c>
      <c r="D326" s="24" t="str">
        <f>'Input - Bookings'!E326</f>
        <v>067</v>
      </c>
      <c r="E326" s="24" t="str">
        <f>'Input - Bookings'!G326</f>
        <v>S.G EQUIPMENT LTD</v>
      </c>
      <c r="F326" s="24" t="str">
        <f>'Input - Bookings'!I326</f>
        <v>H67327</v>
      </c>
      <c r="G326" s="24" t="str">
        <f>'Input - Bookings'!L326</f>
        <v>A968</v>
      </c>
      <c r="H326" s="24" t="str">
        <f>'Input - Bookings'!M326</f>
        <v>ERC065VG</v>
      </c>
      <c r="I326" s="24" t="str">
        <f>'Input - Bookings'!B326</f>
        <v>USD</v>
      </c>
      <c r="J326" s="13" t="str">
        <f>IF(I326="USD",INDEX('AP Plants'!A:A,MATCH(G326,'AP Plants'!D:D,0)),INDEX('Australia Plants'!A:A,MATCH(G326,'Australia Plants'!D:D,0)))</f>
        <v>Greenville</v>
      </c>
      <c r="K326" s="73">
        <v>1</v>
      </c>
      <c r="L326" s="97">
        <v>48170</v>
      </c>
      <c r="M326" s="97">
        <v>33511.64</v>
      </c>
      <c r="N326" s="99">
        <v>0.19982441396143724</v>
      </c>
      <c r="O326" s="25">
        <f t="shared" si="97"/>
        <v>0.30430475399626322</v>
      </c>
      <c r="P326" s="14">
        <f>IFERROR(IF(OR(B326&amp;C326="PAU",B326&amp;C326="AIN"),VLOOKUP(B326&amp;C326&amp;G326,#REF!,8,0),VLOOKUP(B326&amp;G326,#REF!,8,0)),0)</f>
        <v>0</v>
      </c>
      <c r="Q326" s="15">
        <f t="shared" si="112"/>
        <v>0.19982441396143724</v>
      </c>
      <c r="R326" s="16" t="str">
        <f t="shared" si="98"/>
        <v>AOP</v>
      </c>
      <c r="S326" s="17">
        <f t="shared" si="99"/>
        <v>6696.4438238866587</v>
      </c>
      <c r="T326" s="18">
        <f t="shared" si="100"/>
        <v>6696.4438238866587</v>
      </c>
      <c r="U326" s="23">
        <f t="shared" si="113"/>
        <v>33511.64</v>
      </c>
      <c r="Y326" s="8" t="str">
        <f t="shared" si="101"/>
        <v>PNZH67327ERC065VG</v>
      </c>
      <c r="Z326" s="8" t="str">
        <f>IF(Y326='Input - Bookings'!Q323,"OK","Check")</f>
        <v>Check</v>
      </c>
      <c r="AA326" s="139"/>
      <c r="AB326" s="103">
        <v>1148.4000000000001</v>
      </c>
      <c r="AC326" s="103">
        <v>4044</v>
      </c>
      <c r="AD326" s="100">
        <v>21596.810885999999</v>
      </c>
      <c r="AE326" s="100"/>
      <c r="AF326" s="8" t="str">
        <f t="array" ref="AF326">_xlfn.XLOOKUP($G326,'AP Plants'!D:D,'AP Plants'!B:B)</f>
        <v>Class 1</v>
      </c>
      <c r="AG326" s="102"/>
      <c r="AH326" s="102">
        <f>(AD326*(1+VLOOKUP(J326,'Currency &amp; Conversion'!$F$12:$I$18,2,0)))+((AB326+AC326)*90%)</f>
        <v>26289.408015797399</v>
      </c>
      <c r="AI326" s="44">
        <v>1.4999999999999999E-2</v>
      </c>
      <c r="AJ326" s="15">
        <f>_xlfn.XLOOKUP($AF326,Warranty!B:B,Warranty!E:E)</f>
        <v>5.0000000000000001E-3</v>
      </c>
      <c r="AK326" s="8">
        <f>IF($I326="AUD",VLOOKUP(RIGHT('Wk - Margins'!$G326,3),'AU Freight'!C:G,5,0),0)</f>
        <v>0</v>
      </c>
      <c r="AL326" s="15">
        <f t="shared" si="109"/>
        <v>0</v>
      </c>
      <c r="AM326" s="61">
        <f t="shared" si="102"/>
        <v>26815.196176113343</v>
      </c>
      <c r="AN326" s="63">
        <f t="shared" si="110"/>
        <v>0.19982441396143724</v>
      </c>
      <c r="AQ326" s="147"/>
    </row>
    <row r="327" spans="1:43">
      <c r="A327" s="10" t="str">
        <f>'Input - Bookings'!A327</f>
        <v>10-19</v>
      </c>
      <c r="B327" s="11" t="str">
        <f>'Input - Bookings'!C327</f>
        <v>P</v>
      </c>
      <c r="C327" s="11" t="str">
        <f>'Input - Bookings'!H327</f>
        <v>NZ</v>
      </c>
      <c r="D327" s="24" t="str">
        <f>'Input - Bookings'!E327</f>
        <v>067</v>
      </c>
      <c r="E327" s="24" t="str">
        <f>'Input - Bookings'!G327</f>
        <v>S.G EQUIPMENT LTD</v>
      </c>
      <c r="F327" s="24" t="str">
        <f>'Input - Bookings'!I327</f>
        <v>H67328</v>
      </c>
      <c r="G327" s="24" t="str">
        <f>'Input - Bookings'!L327</f>
        <v>A968</v>
      </c>
      <c r="H327" s="24" t="str">
        <f>'Input - Bookings'!M327</f>
        <v>ERC065VG</v>
      </c>
      <c r="I327" s="24" t="str">
        <f>'Input - Bookings'!B327</f>
        <v>USD</v>
      </c>
      <c r="J327" s="13" t="str">
        <f>IF(I327="USD",INDEX('AP Plants'!A:A,MATCH(G327,'AP Plants'!D:D,0)),INDEX('Australia Plants'!A:A,MATCH(G327,'Australia Plants'!D:D,0)))</f>
        <v>Greenville</v>
      </c>
      <c r="K327" s="73">
        <v>1</v>
      </c>
      <c r="L327" s="97">
        <v>48170</v>
      </c>
      <c r="M327" s="97">
        <v>33511.64</v>
      </c>
      <c r="N327" s="99">
        <v>0.19982441396143724</v>
      </c>
      <c r="O327" s="25">
        <f t="shared" si="97"/>
        <v>0.30430475399626322</v>
      </c>
      <c r="P327" s="14">
        <f>IFERROR(IF(OR(B327&amp;C327="PAU",B327&amp;C327="AIN"),VLOOKUP(B327&amp;C327&amp;G327,#REF!,8,0),VLOOKUP(B327&amp;G327,#REF!,8,0)),0)</f>
        <v>0</v>
      </c>
      <c r="Q327" s="15">
        <f t="shared" si="112"/>
        <v>0.19982441396143724</v>
      </c>
      <c r="R327" s="16" t="str">
        <f t="shared" si="98"/>
        <v>AOP</v>
      </c>
      <c r="S327" s="17">
        <f t="shared" si="99"/>
        <v>6696.4438238866587</v>
      </c>
      <c r="T327" s="18">
        <f t="shared" si="100"/>
        <v>6696.4438238866587</v>
      </c>
      <c r="U327" s="23">
        <f t="shared" si="113"/>
        <v>33511.64</v>
      </c>
      <c r="Y327" s="8" t="str">
        <f t="shared" si="101"/>
        <v>PNZH67328ERC065VG</v>
      </c>
      <c r="Z327" s="8" t="str">
        <f>IF(Y327='Input - Bookings'!Q324,"OK","Check")</f>
        <v>Check</v>
      </c>
      <c r="AA327" s="139"/>
      <c r="AB327" s="103">
        <v>1148.4000000000001</v>
      </c>
      <c r="AC327" s="103">
        <v>4044</v>
      </c>
      <c r="AD327" s="100">
        <v>21596.810885999999</v>
      </c>
      <c r="AE327" s="100"/>
      <c r="AF327" s="8" t="str">
        <f t="array" ref="AF327">_xlfn.XLOOKUP($G327,'AP Plants'!D:D,'AP Plants'!B:B)</f>
        <v>Class 1</v>
      </c>
      <c r="AG327" s="102"/>
      <c r="AH327" s="102">
        <f>(AD327*(1+VLOOKUP(J327,'Currency &amp; Conversion'!$F$12:$I$18,2,0)))+((AB327+AC327)*90%)</f>
        <v>26289.408015797399</v>
      </c>
      <c r="AI327" s="44">
        <v>1.4999999999999999E-2</v>
      </c>
      <c r="AJ327" s="15">
        <f>_xlfn.XLOOKUP($AF327,Warranty!B:B,Warranty!E:E)</f>
        <v>5.0000000000000001E-3</v>
      </c>
      <c r="AK327" s="8">
        <f>IF($I327="AUD",VLOOKUP(RIGHT('Wk - Margins'!$G327,3),'AU Freight'!C:G,5,0),0)</f>
        <v>0</v>
      </c>
      <c r="AL327" s="15">
        <f t="shared" si="109"/>
        <v>0</v>
      </c>
      <c r="AM327" s="61">
        <f t="shared" si="102"/>
        <v>26815.196176113343</v>
      </c>
      <c r="AN327" s="63">
        <f t="shared" si="110"/>
        <v>0.19982441396143724</v>
      </c>
      <c r="AQ327" s="147"/>
    </row>
    <row r="328" spans="1:43">
      <c r="A328" s="10" t="str">
        <f>'Input - Bookings'!A328</f>
        <v>10-19</v>
      </c>
      <c r="B328" s="11" t="str">
        <f>'Input - Bookings'!C328</f>
        <v>P</v>
      </c>
      <c r="C328" s="11" t="str">
        <f>'Input - Bookings'!H328</f>
        <v>NZ</v>
      </c>
      <c r="D328" s="24" t="str">
        <f>'Input - Bookings'!E328</f>
        <v>067</v>
      </c>
      <c r="E328" s="24" t="str">
        <f>'Input - Bookings'!G328</f>
        <v>S.G EQUIPMENT LTD</v>
      </c>
      <c r="F328" s="24" t="str">
        <f>'Input - Bookings'!I328</f>
        <v>H67329</v>
      </c>
      <c r="G328" s="24" t="str">
        <f>'Input - Bookings'!L328</f>
        <v>A968</v>
      </c>
      <c r="H328" s="24" t="str">
        <f>'Input - Bookings'!M328</f>
        <v>ERC065VG</v>
      </c>
      <c r="I328" s="24" t="str">
        <f>'Input - Bookings'!B328</f>
        <v>USD</v>
      </c>
      <c r="J328" s="13" t="str">
        <f>IF(I328="USD",INDEX('AP Plants'!A:A,MATCH(G328,'AP Plants'!D:D,0)),INDEX('Australia Plants'!A:A,MATCH(G328,'Australia Plants'!D:D,0)))</f>
        <v>Greenville</v>
      </c>
      <c r="K328" s="73">
        <v>1</v>
      </c>
      <c r="L328" s="97">
        <v>48170</v>
      </c>
      <c r="M328" s="97">
        <v>33511.64</v>
      </c>
      <c r="N328" s="99">
        <v>0.19982441396143724</v>
      </c>
      <c r="O328" s="25">
        <f t="shared" si="97"/>
        <v>0.30430475399626322</v>
      </c>
      <c r="P328" s="14">
        <f>IFERROR(IF(OR(B328&amp;C328="PAU",B328&amp;C328="AIN"),VLOOKUP(B328&amp;C328&amp;G328,#REF!,8,0),VLOOKUP(B328&amp;G328,#REF!,8,0)),0)</f>
        <v>0</v>
      </c>
      <c r="Q328" s="15">
        <f t="shared" si="112"/>
        <v>0.19982441396143724</v>
      </c>
      <c r="R328" s="16" t="str">
        <f t="shared" si="98"/>
        <v>AOP</v>
      </c>
      <c r="S328" s="17">
        <f t="shared" si="99"/>
        <v>6696.4438238866587</v>
      </c>
      <c r="T328" s="18">
        <f t="shared" si="100"/>
        <v>6696.4438238866587</v>
      </c>
      <c r="U328" s="23">
        <f t="shared" si="113"/>
        <v>33511.64</v>
      </c>
      <c r="Y328" s="8" t="str">
        <f t="shared" si="101"/>
        <v>PNZH67329ERC065VG</v>
      </c>
      <c r="Z328" s="8" t="str">
        <f>IF(Y328='Input - Bookings'!Q325,"OK","Check")</f>
        <v>Check</v>
      </c>
      <c r="AA328" s="139"/>
      <c r="AB328" s="103">
        <v>1148.4000000000001</v>
      </c>
      <c r="AC328" s="103">
        <v>4044</v>
      </c>
      <c r="AD328" s="100">
        <v>21596.810885999999</v>
      </c>
      <c r="AE328" s="100"/>
      <c r="AF328" s="8" t="str">
        <f t="array" ref="AF328">_xlfn.XLOOKUP($G328,'AP Plants'!D:D,'AP Plants'!B:B)</f>
        <v>Class 1</v>
      </c>
      <c r="AG328" s="102"/>
      <c r="AH328" s="102">
        <f>(AD328*(1+VLOOKUP(J328,'Currency &amp; Conversion'!$F$12:$I$18,2,0)))+((AB328+AC328)*90%)</f>
        <v>26289.408015797399</v>
      </c>
      <c r="AI328" s="44">
        <v>1.4999999999999999E-2</v>
      </c>
      <c r="AJ328" s="15">
        <f>_xlfn.XLOOKUP($AF328,Warranty!B:B,Warranty!E:E)</f>
        <v>5.0000000000000001E-3</v>
      </c>
      <c r="AK328" s="8">
        <f>IF($I328="AUD",VLOOKUP(RIGHT('Wk - Margins'!$G328,3),'AU Freight'!C:G,5,0),0)</f>
        <v>0</v>
      </c>
      <c r="AL328" s="15">
        <f t="shared" si="109"/>
        <v>0</v>
      </c>
      <c r="AM328" s="61">
        <f t="shared" si="102"/>
        <v>26815.196176113343</v>
      </c>
      <c r="AN328" s="63">
        <f t="shared" si="110"/>
        <v>0.19982441396143724</v>
      </c>
      <c r="AQ328" s="147"/>
    </row>
    <row r="329" spans="1:43">
      <c r="A329" s="10" t="str">
        <f>'Input - Bookings'!A329</f>
        <v>10-19</v>
      </c>
      <c r="B329" s="11" t="str">
        <f>'Input - Bookings'!C329</f>
        <v>P</v>
      </c>
      <c r="C329" s="11" t="str">
        <f>'Input - Bookings'!H329</f>
        <v>NZ</v>
      </c>
      <c r="D329" s="24" t="str">
        <f>'Input - Bookings'!E329</f>
        <v>067</v>
      </c>
      <c r="E329" s="24" t="str">
        <f>'Input - Bookings'!G329</f>
        <v>S.G EQUIPMENT LTD</v>
      </c>
      <c r="F329" s="24" t="str">
        <f>'Input - Bookings'!I329</f>
        <v>H67323</v>
      </c>
      <c r="G329" s="24" t="str">
        <f>'Input - Bookings'!L329</f>
        <v>A968</v>
      </c>
      <c r="H329" s="24" t="str">
        <f>'Input - Bookings'!M329</f>
        <v>ERC065VG</v>
      </c>
      <c r="I329" s="24" t="str">
        <f>'Input - Bookings'!B329</f>
        <v>USD</v>
      </c>
      <c r="J329" s="13" t="str">
        <f>IF(I329="USD",INDEX('AP Plants'!A:A,MATCH(G329,'AP Plants'!D:D,0)),INDEX('Australia Plants'!A:A,MATCH(G329,'Australia Plants'!D:D,0)))</f>
        <v>Greenville</v>
      </c>
      <c r="K329" s="73">
        <v>1</v>
      </c>
      <c r="L329" s="97">
        <v>48270</v>
      </c>
      <c r="M329" s="97">
        <v>33611.64</v>
      </c>
      <c r="N329" s="99">
        <v>0.19947386750205165</v>
      </c>
      <c r="O329" s="25">
        <f t="shared" ref="O329:O335" si="114">1-M329/L329</f>
        <v>0.30367433188315729</v>
      </c>
      <c r="P329" s="14">
        <f>IFERROR(IF(OR(B329&amp;C329="PAU",B329&amp;C329="AIN"),VLOOKUP(B329&amp;C329&amp;G329,#REF!,8,0),VLOOKUP(B329&amp;G329,#REF!,8,0)),0)</f>
        <v>0</v>
      </c>
      <c r="Q329" s="15">
        <f t="shared" si="112"/>
        <v>0.19947386750205165</v>
      </c>
      <c r="R329" s="16" t="str">
        <f t="shared" ref="R329:R335" si="115">IF(Q329&gt;=0%,"AOP",IF(Q329&gt;=-2%,"GM",IF(Q329&gt;=-6%,"MD","VP")))</f>
        <v>AOP</v>
      </c>
      <c r="S329" s="17">
        <f t="shared" ref="S329:S392" si="116">K329*M329*(N329-P329)</f>
        <v>6704.6438238866594</v>
      </c>
      <c r="T329" s="18">
        <f t="shared" ref="T329:T335" si="117">IF(I329="USD",S329,S329/$X$6)</f>
        <v>6704.6438238866594</v>
      </c>
      <c r="U329" s="23">
        <f t="shared" si="113"/>
        <v>33611.64</v>
      </c>
      <c r="Y329" s="8" t="str">
        <f t="shared" ref="Y329:Y335" si="118">B329&amp;C329&amp;F329&amp;H329</f>
        <v>PNZH67323ERC065VG</v>
      </c>
      <c r="Z329" s="8" t="str">
        <f>IF(Y329='Input - Bookings'!Q326,"OK","Check")</f>
        <v>Check</v>
      </c>
      <c r="AA329" s="139"/>
      <c r="AB329" s="103">
        <v>1148.4000000000001</v>
      </c>
      <c r="AC329" s="103">
        <v>4144</v>
      </c>
      <c r="AD329" s="100">
        <v>21596.810885999999</v>
      </c>
      <c r="AE329" s="100"/>
      <c r="AF329" s="8" t="str">
        <f t="array" ref="AF329">_xlfn.XLOOKUP($G329,'AP Plants'!D:D,'AP Plants'!B:B)</f>
        <v>Class 1</v>
      </c>
      <c r="AG329" s="102"/>
      <c r="AH329" s="102">
        <f>(AD329*(1+VLOOKUP(J329,'Currency &amp; Conversion'!$F$12:$I$18,2,0)))+((AB329+AC329)*90%)</f>
        <v>26379.408015797399</v>
      </c>
      <c r="AI329" s="44">
        <v>1.4999999999999999E-2</v>
      </c>
      <c r="AJ329" s="15">
        <f>_xlfn.XLOOKUP($AF329,Warranty!B:B,Warranty!E:E)</f>
        <v>5.0000000000000001E-3</v>
      </c>
      <c r="AK329" s="8">
        <f>IF($I329="AUD",VLOOKUP(RIGHT('Wk - Margins'!$G329,3),'AU Freight'!C:G,5,0),0)</f>
        <v>0</v>
      </c>
      <c r="AL329" s="15">
        <f t="shared" ref="AL329:AL335" si="119">IF(AND($I329="AUD",$AF329="Class 5 BT"),5%,0%)</f>
        <v>0</v>
      </c>
      <c r="AM329" s="61">
        <f t="shared" ref="AM329:AM335" si="120">SUM(AG329:AH329)*(1+AI329+AJ329+AL329)+AK329</f>
        <v>26906.996176113342</v>
      </c>
      <c r="AN329" s="63">
        <f t="shared" ref="AN329:AN335" si="121">1-AM329/M329</f>
        <v>0.19947386750205165</v>
      </c>
      <c r="AQ329" s="147"/>
    </row>
    <row r="330" spans="1:43">
      <c r="A330" s="10" t="str">
        <f>'Input - Bookings'!A330</f>
        <v>10-19</v>
      </c>
      <c r="B330" s="11" t="str">
        <f>'Input - Bookings'!C330</f>
        <v>P</v>
      </c>
      <c r="C330" s="11" t="str">
        <f>'Input - Bookings'!H330</f>
        <v>NZ</v>
      </c>
      <c r="D330" s="24" t="str">
        <f>'Input - Bookings'!E330</f>
        <v>067</v>
      </c>
      <c r="E330" s="24" t="str">
        <f>'Input - Bookings'!G330</f>
        <v>S.G EQUIPMENT LTD</v>
      </c>
      <c r="F330" s="24" t="str">
        <f>'Input - Bookings'!I330</f>
        <v>H67330</v>
      </c>
      <c r="G330" s="24" t="str">
        <f>'Input - Bookings'!L330</f>
        <v>A968</v>
      </c>
      <c r="H330" s="24" t="str">
        <f>'Input - Bookings'!M330</f>
        <v>ERC065VG</v>
      </c>
      <c r="I330" s="24" t="str">
        <f>'Input - Bookings'!B330</f>
        <v>USD</v>
      </c>
      <c r="J330" s="13" t="str">
        <f>IF(I330="USD",INDEX('AP Plants'!A:A,MATCH(G330,'AP Plants'!D:D,0)),INDEX('Australia Plants'!A:A,MATCH(G330,'Australia Plants'!D:D,0)))</f>
        <v>Greenville</v>
      </c>
      <c r="K330" s="73">
        <v>1</v>
      </c>
      <c r="L330" s="97">
        <v>48270</v>
      </c>
      <c r="M330" s="97">
        <v>33611.64</v>
      </c>
      <c r="N330" s="99">
        <v>0.19947386750205165</v>
      </c>
      <c r="O330" s="25">
        <f t="shared" si="114"/>
        <v>0.30367433188315729</v>
      </c>
      <c r="P330" s="14">
        <f>IFERROR(IF(OR(B330&amp;C330="PAU",B330&amp;C330="AIN"),VLOOKUP(B330&amp;C330&amp;G330,#REF!,8,0),VLOOKUP(B330&amp;G330,#REF!,8,0)),0)</f>
        <v>0</v>
      </c>
      <c r="Q330" s="15">
        <f t="shared" si="112"/>
        <v>0.19947386750205165</v>
      </c>
      <c r="R330" s="16" t="str">
        <f t="shared" si="115"/>
        <v>AOP</v>
      </c>
      <c r="S330" s="17">
        <f t="shared" si="116"/>
        <v>6704.6438238866594</v>
      </c>
      <c r="T330" s="18">
        <f t="shared" si="117"/>
        <v>6704.6438238866594</v>
      </c>
      <c r="U330" s="23">
        <f t="shared" si="113"/>
        <v>33611.64</v>
      </c>
      <c r="Y330" s="8" t="str">
        <f t="shared" si="118"/>
        <v>PNZH67330ERC065VG</v>
      </c>
      <c r="Z330" s="8" t="str">
        <f>IF(Y330='Input - Bookings'!Q327,"OK","Check")</f>
        <v>Check</v>
      </c>
      <c r="AA330" s="139"/>
      <c r="AB330" s="103">
        <v>1148.4000000000001</v>
      </c>
      <c r="AC330" s="103">
        <v>4144</v>
      </c>
      <c r="AD330" s="100">
        <v>21596.810885999999</v>
      </c>
      <c r="AE330" s="100"/>
      <c r="AF330" s="8" t="str">
        <f t="array" ref="AF330">_xlfn.XLOOKUP($G330,'AP Plants'!D:D,'AP Plants'!B:B)</f>
        <v>Class 1</v>
      </c>
      <c r="AG330" s="102"/>
      <c r="AH330" s="102">
        <f>(AD330*(1+VLOOKUP(J330,'Currency &amp; Conversion'!$F$12:$I$18,2,0)))+((AB330+AC330)*90%)</f>
        <v>26379.408015797399</v>
      </c>
      <c r="AI330" s="44">
        <v>1.4999999999999999E-2</v>
      </c>
      <c r="AJ330" s="15">
        <f>_xlfn.XLOOKUP($AF330,Warranty!B:B,Warranty!E:E)</f>
        <v>5.0000000000000001E-3</v>
      </c>
      <c r="AK330" s="8">
        <f>IF($I330="AUD",VLOOKUP(RIGHT('Wk - Margins'!$G330,3),'AU Freight'!C:G,5,0),0)</f>
        <v>0</v>
      </c>
      <c r="AL330" s="15">
        <f t="shared" si="119"/>
        <v>0</v>
      </c>
      <c r="AM330" s="61">
        <f t="shared" si="120"/>
        <v>26906.996176113342</v>
      </c>
      <c r="AN330" s="63">
        <f t="shared" si="121"/>
        <v>0.19947386750205165</v>
      </c>
      <c r="AQ330" s="147"/>
    </row>
    <row r="331" spans="1:43">
      <c r="A331" s="10" t="str">
        <f>'Input - Bookings'!A331</f>
        <v>10-19</v>
      </c>
      <c r="B331" s="11" t="str">
        <f>'Input - Bookings'!C331</f>
        <v>P</v>
      </c>
      <c r="C331" s="11" t="str">
        <f>'Input - Bookings'!H331</f>
        <v>NZ</v>
      </c>
      <c r="D331" s="24" t="str">
        <f>'Input - Bookings'!E331</f>
        <v>067</v>
      </c>
      <c r="E331" s="24" t="str">
        <f>'Input - Bookings'!G331</f>
        <v>S.G EQUIPMENT LTD</v>
      </c>
      <c r="F331" s="24" t="str">
        <f>'Input - Bookings'!I331</f>
        <v>H67318</v>
      </c>
      <c r="G331" s="24" t="str">
        <f>'Input - Bookings'!L331</f>
        <v>A976</v>
      </c>
      <c r="H331" s="24" t="str">
        <f>'Input - Bookings'!M331</f>
        <v>ERP25VL</v>
      </c>
      <c r="I331" s="24" t="str">
        <f>'Input - Bookings'!B331</f>
        <v>USD</v>
      </c>
      <c r="J331" s="13" t="str">
        <f>IF(I331="USD",INDEX('AP Plants'!A:A,MATCH(G331,'AP Plants'!D:D,0)),INDEX('Australia Plants'!A:A,MATCH(G331,'Australia Plants'!D:D,0)))</f>
        <v>Craigavon</v>
      </c>
      <c r="K331" s="73">
        <v>1</v>
      </c>
      <c r="L331" s="97">
        <v>47840</v>
      </c>
      <c r="M331" s="97">
        <v>37794.160000000003</v>
      </c>
      <c r="N331" s="99">
        <v>0.1704974390205517</v>
      </c>
      <c r="O331" s="25">
        <f t="shared" si="114"/>
        <v>0.20998829431438115</v>
      </c>
      <c r="P331" s="14">
        <f>IFERROR(IF(OR(B331&amp;C331="PAU",B331&amp;C331="AIN"),VLOOKUP(B331&amp;C331&amp;G331,#REF!,8,0),VLOOKUP(B331&amp;G331,#REF!,8,0)),0)</f>
        <v>0</v>
      </c>
      <c r="Q331" s="15">
        <f t="shared" si="112"/>
        <v>0.1704974390205517</v>
      </c>
      <c r="R331" s="16" t="str">
        <f t="shared" si="115"/>
        <v>AOP</v>
      </c>
      <c r="S331" s="17">
        <f t="shared" si="116"/>
        <v>6443.8074899329749</v>
      </c>
      <c r="T331" s="18">
        <f t="shared" si="117"/>
        <v>6443.8074899329749</v>
      </c>
      <c r="U331" s="23">
        <f t="shared" si="113"/>
        <v>37794.160000000003</v>
      </c>
      <c r="Y331" s="8" t="str">
        <f t="shared" si="118"/>
        <v>PNZH67318ERP25VL</v>
      </c>
      <c r="Z331" s="8" t="str">
        <f>IF(Y331='Input - Bookings'!Q328,"OK","Check")</f>
        <v>Check</v>
      </c>
      <c r="AA331" s="139"/>
      <c r="AB331" s="103">
        <v>6424.2</v>
      </c>
      <c r="AC331" s="103">
        <v>0</v>
      </c>
      <c r="AD331" s="100"/>
      <c r="AE331" s="100">
        <v>23064.03</v>
      </c>
      <c r="AF331" s="8" t="str">
        <f t="array" ref="AF331">_xlfn.XLOOKUP($G331,'AP Plants'!D:D,'AP Plants'!B:B)</f>
        <v>Class 1</v>
      </c>
      <c r="AG331" s="102"/>
      <c r="AH331" s="102">
        <f>(AE331*(1+VLOOKUP(J331,'Currency &amp; Conversion'!$F$12:$I$18,2,0))*'Currency &amp; Conversion'!$L$3)+((AB331+AC331)*90%)</f>
        <v>30735.639715751997</v>
      </c>
      <c r="AI331" s="44">
        <v>1.4999999999999999E-2</v>
      </c>
      <c r="AJ331" s="15">
        <f>_xlfn.XLOOKUP($AF331,Warranty!B:B,Warranty!E:E)</f>
        <v>5.0000000000000001E-3</v>
      </c>
      <c r="AK331" s="8">
        <f>IF($I331="AUD",VLOOKUP(RIGHT('Wk - Margins'!$G331,3),'AU Freight'!C:G,5,0),0)</f>
        <v>0</v>
      </c>
      <c r="AL331" s="15">
        <f t="shared" si="119"/>
        <v>0</v>
      </c>
      <c r="AM331" s="61">
        <f t="shared" si="120"/>
        <v>31350.35251006703</v>
      </c>
      <c r="AN331" s="63">
        <f t="shared" si="121"/>
        <v>0.1704974390205517</v>
      </c>
      <c r="AQ331" s="147"/>
    </row>
    <row r="332" spans="1:43">
      <c r="A332" s="10" t="str">
        <f>'Input - Bookings'!A332</f>
        <v>10-19</v>
      </c>
      <c r="B332" s="11" t="str">
        <f>'Input - Bookings'!C332</f>
        <v>P</v>
      </c>
      <c r="C332" s="11" t="str">
        <f>'Input - Bookings'!H332</f>
        <v>NZ</v>
      </c>
      <c r="D332" s="24" t="str">
        <f>'Input - Bookings'!E332</f>
        <v>067</v>
      </c>
      <c r="E332" s="24" t="str">
        <f>'Input - Bookings'!G332</f>
        <v>S.G EQUIPMENT LTD</v>
      </c>
      <c r="F332" s="24" t="str">
        <f>'Input - Bookings'!I332</f>
        <v>H67325</v>
      </c>
      <c r="G332" s="24" t="str">
        <f>'Input - Bookings'!L332</f>
        <v>A976</v>
      </c>
      <c r="H332" s="24" t="str">
        <f>'Input - Bookings'!M332</f>
        <v>ERP25VL</v>
      </c>
      <c r="I332" s="24" t="str">
        <f>'Input - Bookings'!B332</f>
        <v>USD</v>
      </c>
      <c r="J332" s="13" t="str">
        <f>IF(I332="USD",INDEX('AP Plants'!A:A,MATCH(G332,'AP Plants'!D:D,0)),INDEX('Australia Plants'!A:A,MATCH(G332,'Australia Plants'!D:D,0)))</f>
        <v>Craigavon</v>
      </c>
      <c r="K332" s="73">
        <v>1</v>
      </c>
      <c r="L332" s="97">
        <v>47840</v>
      </c>
      <c r="M332" s="97">
        <v>37794.160000000003</v>
      </c>
      <c r="N332" s="99">
        <v>0.1704974390205517</v>
      </c>
      <c r="O332" s="25">
        <f t="shared" si="114"/>
        <v>0.20998829431438115</v>
      </c>
      <c r="P332" s="14">
        <f>IFERROR(IF(OR(B332&amp;C332="PAU",B332&amp;C332="AIN"),VLOOKUP(B332&amp;C332&amp;G332,#REF!,8,0),VLOOKUP(B332&amp;G332,#REF!,8,0)),0)</f>
        <v>0</v>
      </c>
      <c r="Q332" s="15">
        <f t="shared" si="112"/>
        <v>0.1704974390205517</v>
      </c>
      <c r="R332" s="16" t="str">
        <f t="shared" si="115"/>
        <v>AOP</v>
      </c>
      <c r="S332" s="17">
        <f t="shared" si="116"/>
        <v>6443.8074899329749</v>
      </c>
      <c r="T332" s="18">
        <f t="shared" si="117"/>
        <v>6443.8074899329749</v>
      </c>
      <c r="U332" s="23">
        <f t="shared" si="113"/>
        <v>37794.160000000003</v>
      </c>
      <c r="Y332" s="8" t="str">
        <f t="shared" si="118"/>
        <v>PNZH67325ERP25VL</v>
      </c>
      <c r="Z332" s="8" t="str">
        <f>IF(Y332='Input - Bookings'!Q329,"OK","Check")</f>
        <v>Check</v>
      </c>
      <c r="AA332" s="139"/>
      <c r="AB332" s="103">
        <v>6424.2</v>
      </c>
      <c r="AC332" s="103">
        <v>0</v>
      </c>
      <c r="AD332" s="100"/>
      <c r="AE332" s="100">
        <v>23064.03</v>
      </c>
      <c r="AF332" s="8" t="str">
        <f t="array" ref="AF332">_xlfn.XLOOKUP($G332,'AP Plants'!D:D,'AP Plants'!B:B)</f>
        <v>Class 1</v>
      </c>
      <c r="AG332" s="102"/>
      <c r="AH332" s="102">
        <f>(AE332*(1+VLOOKUP(J332,'Currency &amp; Conversion'!$F$12:$I$18,2,0))*'Currency &amp; Conversion'!$L$3)+((AB332+AC332)*90%)</f>
        <v>30735.639715751997</v>
      </c>
      <c r="AI332" s="44">
        <v>1.4999999999999999E-2</v>
      </c>
      <c r="AJ332" s="15">
        <f>_xlfn.XLOOKUP($AF332,Warranty!B:B,Warranty!E:E)</f>
        <v>5.0000000000000001E-3</v>
      </c>
      <c r="AK332" s="8">
        <f>IF($I332="AUD",VLOOKUP(RIGHT('Wk - Margins'!$G332,3),'AU Freight'!C:G,5,0),0)</f>
        <v>0</v>
      </c>
      <c r="AL332" s="15">
        <f t="shared" si="119"/>
        <v>0</v>
      </c>
      <c r="AM332" s="61">
        <f t="shared" si="120"/>
        <v>31350.35251006703</v>
      </c>
      <c r="AN332" s="63">
        <f t="shared" si="121"/>
        <v>0.1704974390205517</v>
      </c>
      <c r="AQ332" s="147"/>
    </row>
    <row r="333" spans="1:43">
      <c r="A333" s="10" t="str">
        <f>'Input - Bookings'!A333</f>
        <v>10-19</v>
      </c>
      <c r="B333" s="11" t="str">
        <f>'Input - Bookings'!C333</f>
        <v>P</v>
      </c>
      <c r="C333" s="11" t="str">
        <f>'Input - Bookings'!H333</f>
        <v>NZ</v>
      </c>
      <c r="D333" s="24" t="str">
        <f>'Input - Bookings'!E333</f>
        <v>067</v>
      </c>
      <c r="E333" s="24" t="str">
        <f>'Input - Bookings'!G333</f>
        <v>S.G EQUIPMENT LTD</v>
      </c>
      <c r="F333" s="24" t="str">
        <f>'Input - Bookings'!I333</f>
        <v>H67326</v>
      </c>
      <c r="G333" s="24" t="str">
        <f>'Input - Bookings'!L333</f>
        <v>A976</v>
      </c>
      <c r="H333" s="24" t="str">
        <f>'Input - Bookings'!M333</f>
        <v>ERP25VL</v>
      </c>
      <c r="I333" s="24" t="str">
        <f>'Input - Bookings'!B333</f>
        <v>USD</v>
      </c>
      <c r="J333" s="13" t="str">
        <f>IF(I333="USD",INDEX('AP Plants'!A:A,MATCH(G333,'AP Plants'!D:D,0)),INDEX('Australia Plants'!A:A,MATCH(G333,'Australia Plants'!D:D,0)))</f>
        <v>Craigavon</v>
      </c>
      <c r="K333" s="73">
        <v>1</v>
      </c>
      <c r="L333" s="97">
        <v>47840</v>
      </c>
      <c r="M333" s="97">
        <v>37794.160000000003</v>
      </c>
      <c r="N333" s="99">
        <v>0.1704974390205517</v>
      </c>
      <c r="O333" s="25">
        <f t="shared" si="114"/>
        <v>0.20998829431438115</v>
      </c>
      <c r="P333" s="14">
        <f>IFERROR(IF(OR(B333&amp;C333="PAU",B333&amp;C333="AIN"),VLOOKUP(B333&amp;C333&amp;G333,#REF!,8,0),VLOOKUP(B333&amp;G333,#REF!,8,0)),0)</f>
        <v>0</v>
      </c>
      <c r="Q333" s="15">
        <f t="shared" si="112"/>
        <v>0.1704974390205517</v>
      </c>
      <c r="R333" s="16" t="str">
        <f t="shared" si="115"/>
        <v>AOP</v>
      </c>
      <c r="S333" s="17">
        <f t="shared" si="116"/>
        <v>6443.8074899329749</v>
      </c>
      <c r="T333" s="18">
        <f t="shared" si="117"/>
        <v>6443.8074899329749</v>
      </c>
      <c r="U333" s="23">
        <f t="shared" si="113"/>
        <v>37794.160000000003</v>
      </c>
      <c r="Y333" s="8" t="str">
        <f t="shared" si="118"/>
        <v>PNZH67326ERP25VL</v>
      </c>
      <c r="Z333" s="8" t="str">
        <f>IF(Y333='Input - Bookings'!Q330,"OK","Check")</f>
        <v>Check</v>
      </c>
      <c r="AA333" s="139"/>
      <c r="AB333" s="103">
        <v>6424.2</v>
      </c>
      <c r="AC333" s="103">
        <v>0</v>
      </c>
      <c r="AD333" s="100"/>
      <c r="AE333" s="100">
        <v>23064.03</v>
      </c>
      <c r="AF333" s="8" t="str">
        <f t="array" ref="AF333">_xlfn.XLOOKUP($G333,'AP Plants'!D:D,'AP Plants'!B:B)</f>
        <v>Class 1</v>
      </c>
      <c r="AG333" s="102"/>
      <c r="AH333" s="102">
        <f>(AE333*(1+VLOOKUP(J333,'Currency &amp; Conversion'!$F$12:$I$18,2,0))*'Currency &amp; Conversion'!$L$3)+((AB333+AC333)*90%)</f>
        <v>30735.639715751997</v>
      </c>
      <c r="AI333" s="44">
        <v>1.4999999999999999E-2</v>
      </c>
      <c r="AJ333" s="15">
        <f>_xlfn.XLOOKUP($AF333,Warranty!B:B,Warranty!E:E)</f>
        <v>5.0000000000000001E-3</v>
      </c>
      <c r="AK333" s="8">
        <f>IF($I333="AUD",VLOOKUP(RIGHT('Wk - Margins'!$G333,3),'AU Freight'!C:G,5,0),0)</f>
        <v>0</v>
      </c>
      <c r="AL333" s="15">
        <f t="shared" si="119"/>
        <v>0</v>
      </c>
      <c r="AM333" s="61">
        <f t="shared" si="120"/>
        <v>31350.35251006703</v>
      </c>
      <c r="AN333" s="63">
        <f t="shared" si="121"/>
        <v>0.1704974390205517</v>
      </c>
      <c r="AQ333" s="147"/>
    </row>
    <row r="334" spans="1:43">
      <c r="A334" s="10" t="str">
        <f>'Input - Bookings'!A334</f>
        <v>10-24</v>
      </c>
      <c r="B334" s="11" t="str">
        <f>'Input - Bookings'!C334</f>
        <v>P</v>
      </c>
      <c r="C334" s="11" t="str">
        <f>'Input - Bookings'!H334</f>
        <v>AU</v>
      </c>
      <c r="D334" s="24" t="str">
        <f>'Input - Bookings'!E334</f>
        <v>067</v>
      </c>
      <c r="E334" s="24" t="str">
        <f>'Input - Bookings'!G334</f>
        <v>ADAPT-A-LIFT GROUP(NSW)</v>
      </c>
      <c r="F334" s="24" t="str">
        <f>'Input - Bookings'!I334</f>
        <v>H67722</v>
      </c>
      <c r="G334" s="24" t="str">
        <f>'Input - Bookings'!L334</f>
        <v>A7S1</v>
      </c>
      <c r="H334" s="24" t="str">
        <f>'Input - Bookings'!M334</f>
        <v>GP30UX</v>
      </c>
      <c r="I334" s="24" t="str">
        <f>'Input - Bookings'!B334</f>
        <v>AUD</v>
      </c>
      <c r="J334" s="13" t="str">
        <f>IF(I334="USD",INDEX('AP Plants'!A:A,MATCH(G334,'AP Plants'!D:D,0)),INDEX('Australia Plants'!A:A,MATCH(G334,'Australia Plants'!D:D,0)))</f>
        <v>Maximal</v>
      </c>
      <c r="K334" s="73">
        <v>1</v>
      </c>
      <c r="L334" s="97">
        <v>30995</v>
      </c>
      <c r="M334" s="97">
        <v>22320.875</v>
      </c>
      <c r="N334" s="99">
        <v>0.16595557594704424</v>
      </c>
      <c r="O334" s="25">
        <f t="shared" si="114"/>
        <v>0.27985562187449586</v>
      </c>
      <c r="P334" s="14">
        <f>IFERROR(IF(OR(B334&amp;C334="PAU",B334&amp;C334="AIN"),VLOOKUP(B334&amp;C334&amp;G334,#REF!,8,0),VLOOKUP(B334&amp;G334,#REF!,8,0)),0)</f>
        <v>0</v>
      </c>
      <c r="Q334" s="15">
        <f t="shared" si="112"/>
        <v>0.16595557594704424</v>
      </c>
      <c r="R334" s="16" t="str">
        <f t="shared" si="115"/>
        <v>AOP</v>
      </c>
      <c r="S334" s="17">
        <f t="shared" si="116"/>
        <v>3704.2736662669813</v>
      </c>
      <c r="T334" s="18" t="e">
        <f t="shared" si="117"/>
        <v>#DIV/0!</v>
      </c>
      <c r="U334" s="23" t="e">
        <f t="shared" si="113"/>
        <v>#DIV/0!</v>
      </c>
      <c r="Y334" s="8" t="str">
        <f t="shared" si="118"/>
        <v>PAUH67722GP30UX</v>
      </c>
      <c r="Z334" s="8" t="str">
        <f>IF(Y334='Input - Bookings'!Q331,"OK","Check")</f>
        <v>Check</v>
      </c>
      <c r="AA334" s="140"/>
      <c r="AB334" s="103"/>
      <c r="AC334" s="103"/>
      <c r="AD334" s="100">
        <v>10939.286611138117</v>
      </c>
      <c r="AE334" s="100"/>
      <c r="AF334" s="8" t="str">
        <f t="array" ref="AF334">_xlfn.XLOOKUP($G334,'AP Plants'!D:D,'AP Plants'!B:B)</f>
        <v>Class 5 NOT BT</v>
      </c>
      <c r="AG334" s="102">
        <f>AD334*'Currency &amp; Conversion'!$L$6</f>
        <v>16290.785621306884</v>
      </c>
      <c r="AH334" s="102"/>
      <c r="AI334" s="44">
        <v>1.4999999999999999E-2</v>
      </c>
      <c r="AJ334" s="15">
        <f>_xlfn.XLOOKUP($AF334,Warranty!B:B,Warranty!E:E)</f>
        <v>5.0000000000000001E-3</v>
      </c>
      <c r="AK334" s="8">
        <f>IF($I334="AUD",VLOOKUP(RIGHT('Wk - Margins'!$G334,3),'AU Freight'!C:G,5,0),0)</f>
        <v>2000</v>
      </c>
      <c r="AL334" s="15">
        <f t="shared" si="119"/>
        <v>0</v>
      </c>
      <c r="AM334" s="61">
        <f t="shared" si="120"/>
        <v>18616.601333733019</v>
      </c>
      <c r="AN334" s="63">
        <f t="shared" si="121"/>
        <v>0.16595557594704424</v>
      </c>
      <c r="AQ334" s="147"/>
    </row>
    <row r="335" spans="1:43">
      <c r="A335" s="10" t="str">
        <f>'Input - Bookings'!A335</f>
        <v>10-24</v>
      </c>
      <c r="B335" s="11" t="str">
        <f>'Input - Bookings'!C335</f>
        <v>P</v>
      </c>
      <c r="C335" s="11" t="str">
        <f>'Input - Bookings'!H335</f>
        <v>AU</v>
      </c>
      <c r="D335" s="24" t="str">
        <f>'Input - Bookings'!E335</f>
        <v>067</v>
      </c>
      <c r="E335" s="24" t="str">
        <f>'Input - Bookings'!G335</f>
        <v>ADAPT-A-LIFT GROUP(NSW)</v>
      </c>
      <c r="F335" s="24" t="str">
        <f>'Input - Bookings'!I335</f>
        <v>H67723</v>
      </c>
      <c r="G335" s="24" t="str">
        <f>'Input - Bookings'!L335</f>
        <v>A7S1</v>
      </c>
      <c r="H335" s="24" t="str">
        <f>'Input - Bookings'!M335</f>
        <v>GP30UX</v>
      </c>
      <c r="I335" s="24" t="str">
        <f>'Input - Bookings'!B335</f>
        <v>AUD</v>
      </c>
      <c r="J335" s="13" t="str">
        <f>IF(I335="USD",INDEX('AP Plants'!A:A,MATCH(G335,'AP Plants'!D:D,0)),INDEX('Australia Plants'!A:A,MATCH(G335,'Australia Plants'!D:D,0)))</f>
        <v>Maximal</v>
      </c>
      <c r="K335" s="73">
        <v>1</v>
      </c>
      <c r="L335" s="97">
        <v>30995</v>
      </c>
      <c r="M335" s="97">
        <v>22320.875</v>
      </c>
      <c r="N335" s="99">
        <v>0.16595557594704424</v>
      </c>
      <c r="O335" s="25">
        <f t="shared" si="114"/>
        <v>0.27985562187449586</v>
      </c>
      <c r="P335" s="14">
        <f>IFERROR(IF(OR(B335&amp;C335="PAU",B335&amp;C335="AIN"),VLOOKUP(B335&amp;C335&amp;G335,#REF!,8,0),VLOOKUP(B335&amp;G335,#REF!,8,0)),0)</f>
        <v>0</v>
      </c>
      <c r="Q335" s="15">
        <f t="shared" si="112"/>
        <v>0.16595557594704424</v>
      </c>
      <c r="R335" s="16" t="str">
        <f t="shared" si="115"/>
        <v>AOP</v>
      </c>
      <c r="S335" s="17">
        <f t="shared" si="116"/>
        <v>3704.2736662669813</v>
      </c>
      <c r="T335" s="18" t="e">
        <f t="shared" si="117"/>
        <v>#DIV/0!</v>
      </c>
      <c r="U335" s="23" t="e">
        <f t="shared" si="113"/>
        <v>#DIV/0!</v>
      </c>
      <c r="Y335" s="8" t="str">
        <f t="shared" si="118"/>
        <v>PAUH67723GP30UX</v>
      </c>
      <c r="Z335" s="8" t="str">
        <f>IF(Y335='Input - Bookings'!Q332,"OK","Check")</f>
        <v>Check</v>
      </c>
      <c r="AA335" s="140"/>
      <c r="AB335" s="103"/>
      <c r="AC335" s="103"/>
      <c r="AD335" s="100">
        <v>10939.286611138117</v>
      </c>
      <c r="AE335" s="100"/>
      <c r="AF335" s="8" t="str">
        <f t="array" ref="AF335">_xlfn.XLOOKUP($G335,'AP Plants'!D:D,'AP Plants'!B:B)</f>
        <v>Class 5 NOT BT</v>
      </c>
      <c r="AG335" s="102">
        <f>AD335*'Currency &amp; Conversion'!$L$6</f>
        <v>16290.785621306884</v>
      </c>
      <c r="AH335" s="102"/>
      <c r="AI335" s="44">
        <v>1.4999999999999999E-2</v>
      </c>
      <c r="AJ335" s="15">
        <f>_xlfn.XLOOKUP($AF335,Warranty!B:B,Warranty!E:E)</f>
        <v>5.0000000000000001E-3</v>
      </c>
      <c r="AK335" s="8">
        <f>IF($I335="AUD",VLOOKUP(RIGHT('Wk - Margins'!$G335,3),'AU Freight'!C:G,5,0),0)</f>
        <v>2000</v>
      </c>
      <c r="AL335" s="15">
        <f t="shared" si="119"/>
        <v>0</v>
      </c>
      <c r="AM335" s="61">
        <f t="shared" si="120"/>
        <v>18616.601333733019</v>
      </c>
      <c r="AN335" s="63">
        <f t="shared" si="121"/>
        <v>0.16595557594704424</v>
      </c>
      <c r="AQ335" s="147"/>
    </row>
    <row r="336" spans="1:43">
      <c r="A336" s="10" t="str">
        <f>'Input - Bookings'!A336</f>
        <v>10-24</v>
      </c>
      <c r="B336" s="11" t="str">
        <f>'Input - Bookings'!C336</f>
        <v>P</v>
      </c>
      <c r="C336" s="11" t="str">
        <f>'Input - Bookings'!H336</f>
        <v>AU</v>
      </c>
      <c r="D336" s="24" t="str">
        <f>'Input - Bookings'!E336</f>
        <v>067</v>
      </c>
      <c r="E336" s="24" t="str">
        <f>'Input - Bookings'!G336</f>
        <v>ADAPT-A-LIFT GROUP (QLD)</v>
      </c>
      <c r="F336" s="24" t="str">
        <f>'Input - Bookings'!I336</f>
        <v>H67724</v>
      </c>
      <c r="G336" s="24" t="str">
        <f>'Input - Bookings'!L336</f>
        <v>A7S1</v>
      </c>
      <c r="H336" s="24" t="str">
        <f>'Input - Bookings'!M336</f>
        <v>GP30UX</v>
      </c>
      <c r="I336" s="24" t="str">
        <f>'Input - Bookings'!B336</f>
        <v>AUD</v>
      </c>
      <c r="J336" s="13" t="str">
        <f>IF(I336="USD",INDEX('AP Plants'!A:A,MATCH(G336,'AP Plants'!D:D,0)),INDEX('Australia Plants'!A:A,MATCH(G336,'Australia Plants'!D:D,0)))</f>
        <v>Maximal</v>
      </c>
      <c r="K336" s="73">
        <v>1</v>
      </c>
      <c r="L336" s="97">
        <v>30995</v>
      </c>
      <c r="M336" s="97">
        <v>22320.875</v>
      </c>
      <c r="N336" s="99">
        <v>0.16595557594704424</v>
      </c>
      <c r="O336" s="25">
        <f t="shared" ref="O336:O364" si="122">1-M336/L336</f>
        <v>0.27985562187449586</v>
      </c>
      <c r="P336" s="14">
        <f>IFERROR(IF(OR(B336&amp;C336="PAU",B336&amp;C336="AIN"),VLOOKUP(B336&amp;C336&amp;G336,#REF!,8,0),VLOOKUP(B336&amp;G336,#REF!,8,0)),0)</f>
        <v>0</v>
      </c>
      <c r="Q336" s="15">
        <f t="shared" ref="Q336:Q385" si="123">N336-P336</f>
        <v>0.16595557594704424</v>
      </c>
      <c r="R336" s="16" t="str">
        <f t="shared" ref="R336:R385" si="124">IF(Q336&gt;=0%,"AOP",IF(Q336&gt;=-2%,"GM",IF(Q336&gt;=-6%,"MD","VP")))</f>
        <v>AOP</v>
      </c>
      <c r="S336" s="17">
        <f t="shared" si="116"/>
        <v>3704.2736662669813</v>
      </c>
      <c r="T336" s="18" t="e">
        <f t="shared" ref="T336:T385" si="125">IF(I336="USD",S336,S336/$X$6)</f>
        <v>#DIV/0!</v>
      </c>
      <c r="U336" s="23" t="e">
        <f t="shared" si="113"/>
        <v>#DIV/0!</v>
      </c>
      <c r="Y336" s="8" t="str">
        <f t="shared" ref="Y336:Y393" si="126">B336&amp;C336&amp;F336&amp;H336</f>
        <v>PAUH67724GP30UX</v>
      </c>
      <c r="Z336" s="8" t="str">
        <f>IF(Y336='Input - Bookings'!Q333,"OK","Check")</f>
        <v>Check</v>
      </c>
      <c r="AA336" s="140"/>
      <c r="AB336" s="103"/>
      <c r="AC336" s="103"/>
      <c r="AD336" s="100">
        <v>10939.286611138117</v>
      </c>
      <c r="AE336" s="100"/>
      <c r="AF336" s="8" t="str">
        <f t="array" ref="AF336">_xlfn.XLOOKUP($G336,'AP Plants'!D:D,'AP Plants'!B:B)</f>
        <v>Class 5 NOT BT</v>
      </c>
      <c r="AG336" s="102">
        <f>AD336*'Currency &amp; Conversion'!$L$6</f>
        <v>16290.785621306884</v>
      </c>
      <c r="AH336" s="102"/>
      <c r="AI336" s="44">
        <v>1.4999999999999999E-2</v>
      </c>
      <c r="AJ336" s="15">
        <f>_xlfn.XLOOKUP($AF336,Warranty!B:B,Warranty!E:E)</f>
        <v>5.0000000000000001E-3</v>
      </c>
      <c r="AK336" s="8">
        <f>IF($I336="AUD",VLOOKUP(RIGHT('Wk - Margins'!$G336,3),'AU Freight'!C:G,5,0),0)</f>
        <v>2000</v>
      </c>
      <c r="AL336" s="15">
        <f t="shared" ref="AL336:AL386" si="127">IF(AND($I336="AUD",$AF336="Class 5 BT"),5%,0%)</f>
        <v>0</v>
      </c>
      <c r="AM336" s="61">
        <f t="shared" ref="AM336:AM387" si="128">SUM(AG336:AH336)*(1+AI336+AJ336+AL336)+AK336</f>
        <v>18616.601333733019</v>
      </c>
      <c r="AN336" s="63">
        <f t="shared" ref="AN336:AN371" si="129">1-AM336/M336</f>
        <v>0.16595557594704424</v>
      </c>
      <c r="AQ336" s="147"/>
    </row>
    <row r="337" spans="1:43">
      <c r="A337" s="10" t="str">
        <f>'Input - Bookings'!A337</f>
        <v>10-24</v>
      </c>
      <c r="B337" s="11" t="str">
        <f>'Input - Bookings'!C337</f>
        <v>P</v>
      </c>
      <c r="C337" s="11" t="str">
        <f>'Input - Bookings'!H337</f>
        <v>AU</v>
      </c>
      <c r="D337" s="24" t="str">
        <f>'Input - Bookings'!E337</f>
        <v>065</v>
      </c>
      <c r="E337" s="24" t="str">
        <f>'Input - Bookings'!G337</f>
        <v>ADAPT-A-LIFT GROUP (SA)</v>
      </c>
      <c r="F337" s="24" t="str">
        <f>'Input - Bookings'!I337</f>
        <v>H67718</v>
      </c>
      <c r="G337" s="24" t="str">
        <f>'Input - Bookings'!L337</f>
        <v>D466</v>
      </c>
      <c r="H337" s="24" t="str">
        <f>'Input - Bookings'!M337</f>
        <v>H2.5XT</v>
      </c>
      <c r="I337" s="24" t="str">
        <f>'Input - Bookings'!B337</f>
        <v>AUD</v>
      </c>
      <c r="J337" s="13" t="str">
        <f>IF(I337="USD",INDEX('AP Plants'!A:A,MATCH(G337,'AP Plants'!D:D,0)),INDEX('Australia Plants'!A:A,MATCH(G337,'Australia Plants'!D:D,0)))</f>
        <v>SN</v>
      </c>
      <c r="K337" s="73">
        <v>1</v>
      </c>
      <c r="L337" s="97">
        <v>41580</v>
      </c>
      <c r="M337" s="97">
        <v>31965.674999999999</v>
      </c>
      <c r="N337" s="99">
        <v>0.16210082343059407</v>
      </c>
      <c r="O337" s="25">
        <f t="shared" si="122"/>
        <v>0.23122474747474753</v>
      </c>
      <c r="P337" s="14">
        <f>IFERROR(IF(OR(B337&amp;C337="PAU",B337&amp;C337="AIN"),VLOOKUP(B337&amp;C337&amp;G337,#REF!,8,0),VLOOKUP(B337&amp;G337,#REF!,8,0)),0)</f>
        <v>0</v>
      </c>
      <c r="Q337" s="15">
        <f t="shared" si="123"/>
        <v>0.16210082343059407</v>
      </c>
      <c r="R337" s="16" t="str">
        <f t="shared" si="124"/>
        <v>AOP</v>
      </c>
      <c r="S337" s="17">
        <f t="shared" si="116"/>
        <v>5181.662239014755</v>
      </c>
      <c r="T337" s="18" t="e">
        <f t="shared" si="125"/>
        <v>#DIV/0!</v>
      </c>
      <c r="U337" s="23" t="e">
        <f t="shared" si="113"/>
        <v>#DIV/0!</v>
      </c>
      <c r="Y337" s="8" t="str">
        <f t="shared" si="126"/>
        <v>PAUH67718H2.5XT</v>
      </c>
      <c r="Z337" s="8" t="str">
        <f>IF(Y337='Input - Bookings'!Q334,"OK","Check")</f>
        <v>Check</v>
      </c>
      <c r="AA337" s="140"/>
      <c r="AB337" s="103"/>
      <c r="AC337" s="103"/>
      <c r="AD337" s="100">
        <v>16230.594108288993</v>
      </c>
      <c r="AE337" s="100"/>
      <c r="AF337" s="8" t="str">
        <f t="array" ref="AF337">_xlfn.XLOOKUP($G337,'AP Plants'!D:D,'AP Plants'!B:B)</f>
        <v>Class 5 NOT BT</v>
      </c>
      <c r="AG337" s="102">
        <f>AD337*'Currency &amp; Conversion'!$L$6</f>
        <v>24170.60074606397</v>
      </c>
      <c r="AH337" s="102"/>
      <c r="AI337" s="44">
        <v>1.4999999999999999E-2</v>
      </c>
      <c r="AJ337" s="15">
        <f>_xlfn.XLOOKUP($AF337,Warranty!B:B,Warranty!E:E)</f>
        <v>5.0000000000000001E-3</v>
      </c>
      <c r="AK337" s="8">
        <f>IF($I337="AUD",VLOOKUP(RIGHT('Wk - Margins'!$G337,3),'AU Freight'!C:G,5,0),0)</f>
        <v>2130</v>
      </c>
      <c r="AL337" s="15">
        <f t="shared" si="127"/>
        <v>0</v>
      </c>
      <c r="AM337" s="61">
        <f t="shared" si="128"/>
        <v>26784.012760985246</v>
      </c>
      <c r="AN337" s="63">
        <f t="shared" si="129"/>
        <v>0.16210082343059407</v>
      </c>
      <c r="AQ337" s="147"/>
    </row>
    <row r="338" spans="1:43">
      <c r="A338" s="10" t="str">
        <f>'Input - Bookings'!A338</f>
        <v>10-24</v>
      </c>
      <c r="B338" s="11" t="str">
        <f>'Input - Bookings'!C338</f>
        <v>P</v>
      </c>
      <c r="C338" s="11" t="str">
        <f>'Input - Bookings'!H338</f>
        <v>AU</v>
      </c>
      <c r="D338" s="24" t="str">
        <f>'Input - Bookings'!E338</f>
        <v>065</v>
      </c>
      <c r="E338" s="24" t="str">
        <f>'Input - Bookings'!G338</f>
        <v>ADAPT-A-LIFT GROUP (SA)</v>
      </c>
      <c r="F338" s="24" t="str">
        <f>'Input - Bookings'!I338</f>
        <v>H67720</v>
      </c>
      <c r="G338" s="24" t="str">
        <f>'Input - Bookings'!L338</f>
        <v>D466</v>
      </c>
      <c r="H338" s="24" t="str">
        <f>'Input - Bookings'!M338</f>
        <v>H2.5XT</v>
      </c>
      <c r="I338" s="24" t="str">
        <f>'Input - Bookings'!B338</f>
        <v>AUD</v>
      </c>
      <c r="J338" s="13" t="str">
        <f>IF(I338="USD",INDEX('AP Plants'!A:A,MATCH(G338,'AP Plants'!D:D,0)),INDEX('Australia Plants'!A:A,MATCH(G338,'Australia Plants'!D:D,0)))</f>
        <v>SN</v>
      </c>
      <c r="K338" s="73">
        <v>1</v>
      </c>
      <c r="L338" s="97">
        <v>41580</v>
      </c>
      <c r="M338" s="97">
        <v>31965.674999999999</v>
      </c>
      <c r="N338" s="99">
        <v>0.16210082343059407</v>
      </c>
      <c r="O338" s="25">
        <f t="shared" si="122"/>
        <v>0.23122474747474753</v>
      </c>
      <c r="P338" s="14">
        <f>IFERROR(IF(OR(B338&amp;C338="PAU",B338&amp;C338="AIN"),VLOOKUP(B338&amp;C338&amp;G338,#REF!,8,0),VLOOKUP(B338&amp;G338,#REF!,8,0)),0)</f>
        <v>0</v>
      </c>
      <c r="Q338" s="15">
        <f t="shared" si="123"/>
        <v>0.16210082343059407</v>
      </c>
      <c r="R338" s="16" t="str">
        <f t="shared" si="124"/>
        <v>AOP</v>
      </c>
      <c r="S338" s="17">
        <f t="shared" si="116"/>
        <v>5181.662239014755</v>
      </c>
      <c r="T338" s="18" t="e">
        <f t="shared" si="125"/>
        <v>#DIV/0!</v>
      </c>
      <c r="U338" s="23" t="e">
        <f t="shared" si="113"/>
        <v>#DIV/0!</v>
      </c>
      <c r="Y338" s="8" t="str">
        <f t="shared" si="126"/>
        <v>PAUH67720H2.5XT</v>
      </c>
      <c r="Z338" s="8" t="str">
        <f>IF(Y338='Input - Bookings'!Q335,"OK","Check")</f>
        <v>Check</v>
      </c>
      <c r="AA338" s="140"/>
      <c r="AB338" s="103"/>
      <c r="AC338" s="103"/>
      <c r="AD338" s="100">
        <v>16230.594108288993</v>
      </c>
      <c r="AE338" s="100"/>
      <c r="AF338" s="8" t="str">
        <f t="array" ref="AF338">_xlfn.XLOOKUP($G338,'AP Plants'!D:D,'AP Plants'!B:B)</f>
        <v>Class 5 NOT BT</v>
      </c>
      <c r="AG338" s="102">
        <f>AD338*'Currency &amp; Conversion'!$L$6</f>
        <v>24170.60074606397</v>
      </c>
      <c r="AH338" s="102"/>
      <c r="AI338" s="44">
        <v>1.4999999999999999E-2</v>
      </c>
      <c r="AJ338" s="15">
        <f>_xlfn.XLOOKUP($AF338,Warranty!B:B,Warranty!E:E)</f>
        <v>5.0000000000000001E-3</v>
      </c>
      <c r="AK338" s="8">
        <f>IF($I338="AUD",VLOOKUP(RIGHT('Wk - Margins'!$G338,3),'AU Freight'!C:G,5,0),0)</f>
        <v>2130</v>
      </c>
      <c r="AL338" s="15">
        <f t="shared" si="127"/>
        <v>0</v>
      </c>
      <c r="AM338" s="61">
        <f t="shared" si="128"/>
        <v>26784.012760985246</v>
      </c>
      <c r="AN338" s="63">
        <f t="shared" si="129"/>
        <v>0.16210082343059407</v>
      </c>
      <c r="AQ338" s="147"/>
    </row>
    <row r="339" spans="1:43">
      <c r="A339" s="10" t="str">
        <f>'Input - Bookings'!A339</f>
        <v>10-24</v>
      </c>
      <c r="B339" s="11" t="str">
        <f>'Input - Bookings'!C339</f>
        <v>P</v>
      </c>
      <c r="C339" s="11" t="str">
        <f>'Input - Bookings'!H339</f>
        <v>AU</v>
      </c>
      <c r="D339" s="24" t="str">
        <f>'Input - Bookings'!E339</f>
        <v>065</v>
      </c>
      <c r="E339" s="24" t="str">
        <f>'Input - Bookings'!G339</f>
        <v>ADAPT-A-LIFT GROUP (SA)</v>
      </c>
      <c r="F339" s="24" t="str">
        <f>'Input - Bookings'!I339</f>
        <v>H67719</v>
      </c>
      <c r="G339" s="24" t="str">
        <f>'Input - Bookings'!L339</f>
        <v>A3C1</v>
      </c>
      <c r="H339" s="24" t="str">
        <f>'Input - Bookings'!M339</f>
        <v>H3.5UT</v>
      </c>
      <c r="I339" s="24" t="str">
        <f>'Input - Bookings'!B339</f>
        <v>AUD</v>
      </c>
      <c r="J339" s="13" t="str">
        <f>IF(I339="USD",INDEX('AP Plants'!A:A,MATCH(G339,'AP Plants'!D:D,0)),INDEX('Australia Plants'!A:A,MATCH(G339,'Australia Plants'!D:D,0)))</f>
        <v>Maximal</v>
      </c>
      <c r="K339" s="73">
        <v>1</v>
      </c>
      <c r="L339" s="97">
        <v>35180</v>
      </c>
      <c r="M339" s="97">
        <v>25521.3</v>
      </c>
      <c r="N339" s="99">
        <v>0.24613561451980082</v>
      </c>
      <c r="O339" s="25">
        <f t="shared" si="122"/>
        <v>0.27455088118249005</v>
      </c>
      <c r="P339" s="14">
        <f>IFERROR(IF(OR(B339&amp;C339="PAU",B339&amp;C339="AIN"),VLOOKUP(B339&amp;C339&amp;G339,#REF!,8,0),VLOOKUP(B339&amp;G339,#REF!,8,0)),0)</f>
        <v>0</v>
      </c>
      <c r="Q339" s="15">
        <f t="shared" si="123"/>
        <v>0.24613561451980082</v>
      </c>
      <c r="R339" s="16" t="str">
        <f t="shared" si="124"/>
        <v>AOP</v>
      </c>
      <c r="S339" s="17">
        <f t="shared" si="116"/>
        <v>6281.7008588441922</v>
      </c>
      <c r="T339" s="18" t="e">
        <f t="shared" si="125"/>
        <v>#DIV/0!</v>
      </c>
      <c r="U339" s="23" t="e">
        <f t="shared" si="113"/>
        <v>#DIV/0!</v>
      </c>
      <c r="Y339" s="8" t="str">
        <f t="shared" si="126"/>
        <v>PAUH67719H3.5UT</v>
      </c>
      <c r="Z339" s="8" t="str">
        <f>IF(Y339='Input - Bookings'!Q336,"OK","Check")</f>
        <v>Check</v>
      </c>
      <c r="AA339" s="140"/>
      <c r="AB339" s="103"/>
      <c r="AC339" s="103"/>
      <c r="AD339" s="100">
        <v>11349.427736668593</v>
      </c>
      <c r="AE339" s="100"/>
      <c r="AF339" s="8" t="str">
        <f t="array" ref="AF339">_xlfn.XLOOKUP($G339,'AP Plants'!D:D,'AP Plants'!B:B)</f>
        <v>Class 5 NOT BT</v>
      </c>
      <c r="AG339" s="102">
        <f>AD339*'Currency &amp; Conversion'!$L$6</f>
        <v>16901.56778544687</v>
      </c>
      <c r="AH339" s="102"/>
      <c r="AI339" s="44">
        <v>1.4999999999999999E-2</v>
      </c>
      <c r="AJ339" s="15">
        <f>_xlfn.XLOOKUP($AF339,Warranty!B:B,Warranty!E:E)</f>
        <v>5.0000000000000001E-3</v>
      </c>
      <c r="AK339" s="8">
        <f>IF($I339="AUD",VLOOKUP(RIGHT('Wk - Margins'!$G339,3),'AU Freight'!C:G,5,0),0)</f>
        <v>2000</v>
      </c>
      <c r="AL339" s="15">
        <f t="shared" si="127"/>
        <v>0</v>
      </c>
      <c r="AM339" s="61">
        <f t="shared" si="128"/>
        <v>19239.599141155806</v>
      </c>
      <c r="AN339" s="63">
        <f t="shared" si="129"/>
        <v>0.24613561451980082</v>
      </c>
      <c r="AQ339" s="147"/>
    </row>
    <row r="340" spans="1:43">
      <c r="A340" s="10" t="str">
        <f>'Input - Bookings'!A340</f>
        <v>10-24</v>
      </c>
      <c r="B340" s="11" t="str">
        <f>'Input - Bookings'!C340</f>
        <v>P</v>
      </c>
      <c r="C340" s="11" t="str">
        <f>'Input - Bookings'!H340</f>
        <v>AU</v>
      </c>
      <c r="D340" s="24" t="str">
        <f>'Input - Bookings'!E340</f>
        <v>065</v>
      </c>
      <c r="E340" s="24" t="str">
        <f>'Input - Bookings'!G340</f>
        <v>ADAPT-A-LIFT GROUP (SA)</v>
      </c>
      <c r="F340" s="24" t="str">
        <f>'Input - Bookings'!I340</f>
        <v>H67721</v>
      </c>
      <c r="G340" s="24" t="str">
        <f>'Input - Bookings'!L340</f>
        <v>A3C1</v>
      </c>
      <c r="H340" s="24" t="str">
        <f>'Input - Bookings'!M340</f>
        <v>H3.5UT</v>
      </c>
      <c r="I340" s="24" t="str">
        <f>'Input - Bookings'!B340</f>
        <v>AUD</v>
      </c>
      <c r="J340" s="13" t="str">
        <f>IF(I340="USD",INDEX('AP Plants'!A:A,MATCH(G340,'AP Plants'!D:D,0)),INDEX('Australia Plants'!A:A,MATCH(G340,'Australia Plants'!D:D,0)))</f>
        <v>Maximal</v>
      </c>
      <c r="K340" s="73">
        <v>1</v>
      </c>
      <c r="L340" s="97">
        <v>35180</v>
      </c>
      <c r="M340" s="97">
        <v>25521.3</v>
      </c>
      <c r="N340" s="99">
        <v>0.24613561451980082</v>
      </c>
      <c r="O340" s="25">
        <f t="shared" si="122"/>
        <v>0.27455088118249005</v>
      </c>
      <c r="P340" s="14">
        <f>IFERROR(IF(OR(B340&amp;C340="PAU",B340&amp;C340="AIN"),VLOOKUP(B340&amp;C340&amp;G340,#REF!,8,0),VLOOKUP(B340&amp;G340,#REF!,8,0)),0)</f>
        <v>0</v>
      </c>
      <c r="Q340" s="15">
        <f t="shared" si="123"/>
        <v>0.24613561451980082</v>
      </c>
      <c r="R340" s="16" t="str">
        <f t="shared" si="124"/>
        <v>AOP</v>
      </c>
      <c r="S340" s="17">
        <f t="shared" si="116"/>
        <v>6281.7008588441922</v>
      </c>
      <c r="T340" s="18" t="e">
        <f t="shared" si="125"/>
        <v>#DIV/0!</v>
      </c>
      <c r="U340" s="23" t="e">
        <f t="shared" si="113"/>
        <v>#DIV/0!</v>
      </c>
      <c r="Y340" s="8" t="str">
        <f t="shared" si="126"/>
        <v>PAUH67721H3.5UT</v>
      </c>
      <c r="Z340" s="8" t="str">
        <f>IF(Y340='Input - Bookings'!Q337,"OK","Check")</f>
        <v>Check</v>
      </c>
      <c r="AA340" s="118"/>
      <c r="AB340" s="103"/>
      <c r="AC340" s="103"/>
      <c r="AD340" s="100">
        <v>11349.427736668593</v>
      </c>
      <c r="AE340" s="100"/>
      <c r="AF340" s="8" t="str">
        <f t="array" ref="AF340">_xlfn.XLOOKUP($G340,'AP Plants'!D:D,'AP Plants'!B:B)</f>
        <v>Class 5 NOT BT</v>
      </c>
      <c r="AG340" s="102">
        <f>AD340*'Currency &amp; Conversion'!$L$6</f>
        <v>16901.56778544687</v>
      </c>
      <c r="AH340" s="102"/>
      <c r="AI340" s="44">
        <v>1.4999999999999999E-2</v>
      </c>
      <c r="AJ340" s="15">
        <f>_xlfn.XLOOKUP($AF340,Warranty!B:B,Warranty!E:E)</f>
        <v>5.0000000000000001E-3</v>
      </c>
      <c r="AK340" s="8">
        <f>IF($I340="AUD",VLOOKUP(RIGHT('Wk - Margins'!$G340,3),'AU Freight'!C:G,5,0),0)</f>
        <v>2000</v>
      </c>
      <c r="AL340" s="15">
        <f t="shared" si="127"/>
        <v>0</v>
      </c>
      <c r="AM340" s="61">
        <f t="shared" si="128"/>
        <v>19239.599141155806</v>
      </c>
      <c r="AN340" s="63">
        <f t="shared" si="129"/>
        <v>0.24613561451980082</v>
      </c>
      <c r="AQ340" s="147"/>
    </row>
    <row r="341" spans="1:43">
      <c r="A341" s="10" t="str">
        <f>'Input - Bookings'!A341</f>
        <v>10-24</v>
      </c>
      <c r="B341" s="11" t="str">
        <f>'Input - Bookings'!C341</f>
        <v>P</v>
      </c>
      <c r="C341" s="11" t="str">
        <f>'Input - Bookings'!H341</f>
        <v>AU</v>
      </c>
      <c r="D341" s="24" t="str">
        <f>'Input - Bookings'!E341</f>
        <v>065</v>
      </c>
      <c r="E341" s="24" t="str">
        <f>'Input - Bookings'!G341</f>
        <v>ADAPT-A-LIFT GROUP (WA)</v>
      </c>
      <c r="F341" s="24" t="str">
        <f>'Input - Bookings'!I341</f>
        <v>H67714</v>
      </c>
      <c r="G341" s="24" t="str">
        <f>'Input - Bookings'!L341</f>
        <v>D466</v>
      </c>
      <c r="H341" s="24" t="str">
        <f>'Input - Bookings'!M341</f>
        <v>H2.5XT</v>
      </c>
      <c r="I341" s="24" t="str">
        <f>'Input - Bookings'!B341</f>
        <v>AUD</v>
      </c>
      <c r="J341" s="13" t="str">
        <f>IF(I341="USD",INDEX('AP Plants'!A:A,MATCH(G341,'AP Plants'!D:D,0)),INDEX('Australia Plants'!A:A,MATCH(G341,'Australia Plants'!D:D,0)))</f>
        <v>SN</v>
      </c>
      <c r="K341" s="73">
        <v>1</v>
      </c>
      <c r="L341" s="97">
        <v>41580</v>
      </c>
      <c r="M341" s="97">
        <v>31965.674999999999</v>
      </c>
      <c r="N341" s="99">
        <v>0.16210082343059407</v>
      </c>
      <c r="O341" s="25">
        <f t="shared" si="122"/>
        <v>0.23122474747474753</v>
      </c>
      <c r="P341" s="14">
        <f>IFERROR(IF(OR(B341&amp;C341="PAU",B341&amp;C341="AIN"),VLOOKUP(B341&amp;C341&amp;G341,#REF!,8,0),VLOOKUP(B341&amp;G341,#REF!,8,0)),0)</f>
        <v>0</v>
      </c>
      <c r="Q341" s="15">
        <f t="shared" si="123"/>
        <v>0.16210082343059407</v>
      </c>
      <c r="R341" s="16" t="str">
        <f t="shared" si="124"/>
        <v>AOP</v>
      </c>
      <c r="S341" s="17">
        <f t="shared" si="116"/>
        <v>5181.662239014755</v>
      </c>
      <c r="T341" s="18" t="e">
        <f t="shared" si="125"/>
        <v>#DIV/0!</v>
      </c>
      <c r="U341" s="23" t="e">
        <f t="shared" si="113"/>
        <v>#DIV/0!</v>
      </c>
      <c r="Y341" s="8" t="str">
        <f t="shared" si="126"/>
        <v>PAUH67714H2.5XT</v>
      </c>
      <c r="Z341" s="8" t="str">
        <f>IF(Y341='Input - Bookings'!Q338,"OK","Check")</f>
        <v>Check</v>
      </c>
      <c r="AA341" s="118"/>
      <c r="AB341" s="103"/>
      <c r="AC341" s="103"/>
      <c r="AD341" s="100">
        <v>16230.594108288993</v>
      </c>
      <c r="AE341" s="100"/>
      <c r="AF341" s="8" t="str">
        <f t="array" ref="AF341">_xlfn.XLOOKUP($G341,'AP Plants'!D:D,'AP Plants'!B:B)</f>
        <v>Class 5 NOT BT</v>
      </c>
      <c r="AG341" s="102">
        <f>AD341*'Currency &amp; Conversion'!$L$6</f>
        <v>24170.60074606397</v>
      </c>
      <c r="AH341" s="102"/>
      <c r="AI341" s="44">
        <v>1.4999999999999999E-2</v>
      </c>
      <c r="AJ341" s="15">
        <f>_xlfn.XLOOKUP($AF341,Warranty!B:B,Warranty!E:E)</f>
        <v>5.0000000000000001E-3</v>
      </c>
      <c r="AK341" s="8">
        <f>IF($I341="AUD",VLOOKUP(RIGHT('Wk - Margins'!$G341,3),'AU Freight'!C:G,5,0),0)</f>
        <v>2130</v>
      </c>
      <c r="AL341" s="15">
        <f t="shared" si="127"/>
        <v>0</v>
      </c>
      <c r="AM341" s="61">
        <f t="shared" si="128"/>
        <v>26784.012760985246</v>
      </c>
      <c r="AN341" s="63">
        <f t="shared" si="129"/>
        <v>0.16210082343059407</v>
      </c>
      <c r="AQ341" s="147"/>
    </row>
    <row r="342" spans="1:43">
      <c r="A342" s="10" t="str">
        <f>'Input - Bookings'!A342</f>
        <v>10-24</v>
      </c>
      <c r="B342" s="11" t="str">
        <f>'Input - Bookings'!C342</f>
        <v>P</v>
      </c>
      <c r="C342" s="11" t="str">
        <f>'Input - Bookings'!H342</f>
        <v>AU</v>
      </c>
      <c r="D342" s="24" t="str">
        <f>'Input - Bookings'!E342</f>
        <v>065</v>
      </c>
      <c r="E342" s="24" t="str">
        <f>'Input - Bookings'!G342</f>
        <v>ADAPT-A-LIFT GROUP (WA)</v>
      </c>
      <c r="F342" s="24" t="str">
        <f>'Input - Bookings'!I342</f>
        <v>H67716</v>
      </c>
      <c r="G342" s="24" t="str">
        <f>'Input - Bookings'!L342</f>
        <v>D466</v>
      </c>
      <c r="H342" s="24" t="str">
        <f>'Input - Bookings'!M342</f>
        <v>H2.5XT</v>
      </c>
      <c r="I342" s="24" t="str">
        <f>'Input - Bookings'!B342</f>
        <v>AUD</v>
      </c>
      <c r="J342" s="13" t="str">
        <f>IF(I342="USD",INDEX('AP Plants'!A:A,MATCH(G342,'AP Plants'!D:D,0)),INDEX('Australia Plants'!A:A,MATCH(G342,'Australia Plants'!D:D,0)))</f>
        <v>SN</v>
      </c>
      <c r="K342" s="73">
        <v>1</v>
      </c>
      <c r="L342" s="97">
        <v>41580</v>
      </c>
      <c r="M342" s="97">
        <v>31965.674999999999</v>
      </c>
      <c r="N342" s="99">
        <v>0.16210082343059407</v>
      </c>
      <c r="O342" s="25">
        <f t="shared" si="122"/>
        <v>0.23122474747474753</v>
      </c>
      <c r="P342" s="14">
        <f>IFERROR(IF(OR(B342&amp;C342="PAU",B342&amp;C342="AIN"),VLOOKUP(B342&amp;C342&amp;G342,#REF!,8,0),VLOOKUP(B342&amp;G342,#REF!,8,0)),0)</f>
        <v>0</v>
      </c>
      <c r="Q342" s="15">
        <f t="shared" si="123"/>
        <v>0.16210082343059407</v>
      </c>
      <c r="R342" s="16" t="str">
        <f t="shared" si="124"/>
        <v>AOP</v>
      </c>
      <c r="S342" s="17">
        <f t="shared" si="116"/>
        <v>5181.662239014755</v>
      </c>
      <c r="T342" s="18" t="e">
        <f t="shared" si="125"/>
        <v>#DIV/0!</v>
      </c>
      <c r="U342" s="23" t="e">
        <f t="shared" si="113"/>
        <v>#DIV/0!</v>
      </c>
      <c r="Y342" s="8" t="str">
        <f t="shared" si="126"/>
        <v>PAUH67716H2.5XT</v>
      </c>
      <c r="Z342" s="8" t="str">
        <f>IF(Y342='Input - Bookings'!Q339,"OK","Check")</f>
        <v>Check</v>
      </c>
      <c r="AA342" s="118"/>
      <c r="AB342" s="103"/>
      <c r="AC342" s="103"/>
      <c r="AD342" s="100">
        <v>16230.594108288993</v>
      </c>
      <c r="AE342" s="100"/>
      <c r="AF342" s="8" t="str">
        <f t="array" ref="AF342">_xlfn.XLOOKUP($G342,'AP Plants'!D:D,'AP Plants'!B:B)</f>
        <v>Class 5 NOT BT</v>
      </c>
      <c r="AG342" s="102">
        <f>AD342*'Currency &amp; Conversion'!$L$6</f>
        <v>24170.60074606397</v>
      </c>
      <c r="AH342" s="102"/>
      <c r="AI342" s="44">
        <v>1.4999999999999999E-2</v>
      </c>
      <c r="AJ342" s="15">
        <f>_xlfn.XLOOKUP($AF342,Warranty!B:B,Warranty!E:E)</f>
        <v>5.0000000000000001E-3</v>
      </c>
      <c r="AK342" s="8">
        <f>IF($I342="AUD",VLOOKUP(RIGHT('Wk - Margins'!$G342,3),'AU Freight'!C:G,5,0),0)</f>
        <v>2130</v>
      </c>
      <c r="AL342" s="15">
        <f t="shared" si="127"/>
        <v>0</v>
      </c>
      <c r="AM342" s="61">
        <f t="shared" si="128"/>
        <v>26784.012760985246</v>
      </c>
      <c r="AN342" s="63">
        <f t="shared" si="129"/>
        <v>0.16210082343059407</v>
      </c>
      <c r="AQ342" s="147"/>
    </row>
    <row r="343" spans="1:43">
      <c r="A343" s="10" t="str">
        <f>'Input - Bookings'!A343</f>
        <v>10-24</v>
      </c>
      <c r="B343" s="11" t="str">
        <f>'Input - Bookings'!C343</f>
        <v>P</v>
      </c>
      <c r="C343" s="11" t="str">
        <f>'Input - Bookings'!H343</f>
        <v>AU</v>
      </c>
      <c r="D343" s="24" t="str">
        <f>'Input - Bookings'!E343</f>
        <v>065</v>
      </c>
      <c r="E343" s="24" t="str">
        <f>'Input - Bookings'!G343</f>
        <v>ADAPT-A-LIFT GROUP (WA)</v>
      </c>
      <c r="F343" s="24" t="str">
        <f>'Input - Bookings'!I343</f>
        <v>H67715</v>
      </c>
      <c r="G343" s="24" t="str">
        <f>'Input - Bookings'!L343</f>
        <v>A3C1</v>
      </c>
      <c r="H343" s="24" t="str">
        <f>'Input - Bookings'!M343</f>
        <v>H3.5UT</v>
      </c>
      <c r="I343" s="24" t="str">
        <f>'Input - Bookings'!B343</f>
        <v>AUD</v>
      </c>
      <c r="J343" s="13" t="str">
        <f>IF(I343="USD",INDEX('AP Plants'!A:A,MATCH(G343,'AP Plants'!D:D,0)),INDEX('Australia Plants'!A:A,MATCH(G343,'Australia Plants'!D:D,0)))</f>
        <v>Maximal</v>
      </c>
      <c r="K343" s="73">
        <v>1</v>
      </c>
      <c r="L343" s="97">
        <v>35180</v>
      </c>
      <c r="M343" s="97">
        <v>25521.3</v>
      </c>
      <c r="N343" s="99">
        <v>0.24613561451980082</v>
      </c>
      <c r="O343" s="25">
        <f t="shared" si="122"/>
        <v>0.27455088118249005</v>
      </c>
      <c r="P343" s="14">
        <f>IFERROR(IF(OR(B343&amp;C343="PAU",B343&amp;C343="AIN"),VLOOKUP(B343&amp;C343&amp;G343,#REF!,8,0),VLOOKUP(B343&amp;G343,#REF!,8,0)),0)</f>
        <v>0</v>
      </c>
      <c r="Q343" s="15">
        <f t="shared" si="123"/>
        <v>0.24613561451980082</v>
      </c>
      <c r="R343" s="16" t="str">
        <f t="shared" si="124"/>
        <v>AOP</v>
      </c>
      <c r="S343" s="17">
        <f t="shared" si="116"/>
        <v>6281.7008588441922</v>
      </c>
      <c r="T343" s="18" t="e">
        <f t="shared" si="125"/>
        <v>#DIV/0!</v>
      </c>
      <c r="U343" s="23" t="e">
        <f t="shared" si="113"/>
        <v>#DIV/0!</v>
      </c>
      <c r="Y343" s="8" t="str">
        <f t="shared" si="126"/>
        <v>PAUH67715H3.5UT</v>
      </c>
      <c r="Z343" s="8" t="str">
        <f>IF(Y343='Input - Bookings'!Q340,"OK","Check")</f>
        <v>Check</v>
      </c>
      <c r="AA343" s="118"/>
      <c r="AB343" s="103"/>
      <c r="AC343" s="103"/>
      <c r="AD343" s="100">
        <v>11349.427736668593</v>
      </c>
      <c r="AE343" s="100"/>
      <c r="AF343" s="8" t="str">
        <f t="array" ref="AF343">_xlfn.XLOOKUP($G343,'AP Plants'!D:D,'AP Plants'!B:B)</f>
        <v>Class 5 NOT BT</v>
      </c>
      <c r="AG343" s="102">
        <f>AD343*'Currency &amp; Conversion'!$L$6</f>
        <v>16901.56778544687</v>
      </c>
      <c r="AH343" s="102"/>
      <c r="AI343" s="44">
        <v>1.4999999999999999E-2</v>
      </c>
      <c r="AJ343" s="15">
        <f>_xlfn.XLOOKUP($AF343,Warranty!B:B,Warranty!E:E)</f>
        <v>5.0000000000000001E-3</v>
      </c>
      <c r="AK343" s="8">
        <f>IF($I343="AUD",VLOOKUP(RIGHT('Wk - Margins'!$G343,3),'AU Freight'!C:G,5,0),0)</f>
        <v>2000</v>
      </c>
      <c r="AL343" s="15">
        <f t="shared" si="127"/>
        <v>0</v>
      </c>
      <c r="AM343" s="61">
        <f t="shared" si="128"/>
        <v>19239.599141155806</v>
      </c>
      <c r="AN343" s="63">
        <f t="shared" si="129"/>
        <v>0.24613561451980082</v>
      </c>
      <c r="AQ343" s="147"/>
    </row>
    <row r="344" spans="1:43">
      <c r="A344" s="10" t="str">
        <f>'Input - Bookings'!A344</f>
        <v>10-24</v>
      </c>
      <c r="B344" s="11" t="str">
        <f>'Input - Bookings'!C344</f>
        <v>P</v>
      </c>
      <c r="C344" s="11" t="str">
        <f>'Input - Bookings'!H344</f>
        <v>AU</v>
      </c>
      <c r="D344" s="24" t="str">
        <f>'Input - Bookings'!E344</f>
        <v>065</v>
      </c>
      <c r="E344" s="24" t="str">
        <f>'Input - Bookings'!G344</f>
        <v>ADAPT-A-LIFT GROUP (WA)</v>
      </c>
      <c r="F344" s="24" t="str">
        <f>'Input - Bookings'!I344</f>
        <v>H67717</v>
      </c>
      <c r="G344" s="24" t="str">
        <f>'Input - Bookings'!L344</f>
        <v>A3C1</v>
      </c>
      <c r="H344" s="24" t="str">
        <f>'Input - Bookings'!M344</f>
        <v>H3.5UT</v>
      </c>
      <c r="I344" s="24" t="str">
        <f>'Input - Bookings'!B344</f>
        <v>AUD</v>
      </c>
      <c r="J344" s="13" t="str">
        <f>IF(I344="USD",INDEX('AP Plants'!A:A,MATCH(G344,'AP Plants'!D:D,0)),INDEX('Australia Plants'!A:A,MATCH(G344,'Australia Plants'!D:D,0)))</f>
        <v>Maximal</v>
      </c>
      <c r="K344" s="73">
        <v>1</v>
      </c>
      <c r="L344" s="97">
        <v>35180</v>
      </c>
      <c r="M344" s="97">
        <v>25521.3</v>
      </c>
      <c r="N344" s="99">
        <v>0.24613561451980082</v>
      </c>
      <c r="O344" s="25">
        <f t="shared" si="122"/>
        <v>0.27455088118249005</v>
      </c>
      <c r="P344" s="14">
        <f>IFERROR(IF(OR(B344&amp;C344="PAU",B344&amp;C344="AIN"),VLOOKUP(B344&amp;C344&amp;G344,#REF!,8,0),VLOOKUP(B344&amp;G344,#REF!,8,0)),0)</f>
        <v>0</v>
      </c>
      <c r="Q344" s="15">
        <f t="shared" si="123"/>
        <v>0.24613561451980082</v>
      </c>
      <c r="R344" s="16" t="str">
        <f t="shared" si="124"/>
        <v>AOP</v>
      </c>
      <c r="S344" s="17">
        <f t="shared" si="116"/>
        <v>6281.7008588441922</v>
      </c>
      <c r="T344" s="18" t="e">
        <f t="shared" si="125"/>
        <v>#DIV/0!</v>
      </c>
      <c r="U344" s="23" t="e">
        <f t="shared" si="113"/>
        <v>#DIV/0!</v>
      </c>
      <c r="Y344" s="8" t="str">
        <f t="shared" si="126"/>
        <v>PAUH67717H3.5UT</v>
      </c>
      <c r="Z344" s="8" t="str">
        <f>IF(Y344='Input - Bookings'!Q341,"OK","Check")</f>
        <v>Check</v>
      </c>
      <c r="AA344" s="140"/>
      <c r="AB344" s="103"/>
      <c r="AC344" s="103"/>
      <c r="AD344" s="100">
        <v>11349.427736668593</v>
      </c>
      <c r="AE344" s="100"/>
      <c r="AF344" s="8" t="str">
        <f t="array" ref="AF344">_xlfn.XLOOKUP($G344,'AP Plants'!D:D,'AP Plants'!B:B)</f>
        <v>Class 5 NOT BT</v>
      </c>
      <c r="AG344" s="102">
        <f>AD344*'Currency &amp; Conversion'!$L$6</f>
        <v>16901.56778544687</v>
      </c>
      <c r="AH344" s="102"/>
      <c r="AI344" s="44">
        <v>1.4999999999999999E-2</v>
      </c>
      <c r="AJ344" s="15">
        <f>_xlfn.XLOOKUP($AF344,Warranty!B:B,Warranty!E:E)</f>
        <v>5.0000000000000001E-3</v>
      </c>
      <c r="AK344" s="8">
        <f>IF($I344="AUD",VLOOKUP(RIGHT('Wk - Margins'!$G344,3),'AU Freight'!C:G,5,0),0)</f>
        <v>2000</v>
      </c>
      <c r="AL344" s="15">
        <f t="shared" si="127"/>
        <v>0</v>
      </c>
      <c r="AM344" s="61">
        <f t="shared" si="128"/>
        <v>19239.599141155806</v>
      </c>
      <c r="AN344" s="63">
        <f t="shared" si="129"/>
        <v>0.24613561451980082</v>
      </c>
      <c r="AQ344" s="147"/>
    </row>
    <row r="345" spans="1:43">
      <c r="A345" s="10" t="str">
        <f>'Input - Bookings'!A345</f>
        <v>10-24</v>
      </c>
      <c r="B345" s="11" t="str">
        <f>'Input - Bookings'!C345</f>
        <v>P</v>
      </c>
      <c r="C345" s="11" t="str">
        <f>'Input - Bookings'!H345</f>
        <v>AU</v>
      </c>
      <c r="D345" s="24" t="str">
        <f>'Input - Bookings'!E345</f>
        <v>067</v>
      </c>
      <c r="E345" s="24" t="str">
        <f>'Input - Bookings'!G345</f>
        <v>ADAPT-A-LIFT GROUP (VIC)</v>
      </c>
      <c r="F345" s="24" t="str">
        <f>'Input - Bookings'!I345</f>
        <v>H67725</v>
      </c>
      <c r="G345" s="24" t="str">
        <f>'Input - Bookings'!L345</f>
        <v>A7S1</v>
      </c>
      <c r="H345" s="24" t="str">
        <f>'Input - Bookings'!M345</f>
        <v>GP30UX</v>
      </c>
      <c r="I345" s="24" t="str">
        <f>'Input - Bookings'!B345</f>
        <v>AUD</v>
      </c>
      <c r="J345" s="13" t="str">
        <f>IF(I345="USD",INDEX('AP Plants'!A:A,MATCH(G345,'AP Plants'!D:D,0)),INDEX('Australia Plants'!A:A,MATCH(G345,'Australia Plants'!D:D,0)))</f>
        <v>Maximal</v>
      </c>
      <c r="K345" s="73">
        <v>1</v>
      </c>
      <c r="L345" s="97">
        <v>30995</v>
      </c>
      <c r="M345" s="97">
        <v>22320.875</v>
      </c>
      <c r="N345" s="99">
        <v>0.16595557594704424</v>
      </c>
      <c r="O345" s="25">
        <f t="shared" si="122"/>
        <v>0.27985562187449586</v>
      </c>
      <c r="P345" s="14">
        <f>IFERROR(IF(OR(B345&amp;C345="PAU",B345&amp;C345="AIN"),VLOOKUP(B345&amp;C345&amp;G345,#REF!,8,0),VLOOKUP(B345&amp;G345,#REF!,8,0)),0)</f>
        <v>0</v>
      </c>
      <c r="Q345" s="15">
        <f t="shared" si="123"/>
        <v>0.16595557594704424</v>
      </c>
      <c r="R345" s="16" t="str">
        <f t="shared" si="124"/>
        <v>AOP</v>
      </c>
      <c r="S345" s="17">
        <f t="shared" si="116"/>
        <v>3704.2736662669813</v>
      </c>
      <c r="T345" s="18" t="e">
        <f t="shared" si="125"/>
        <v>#DIV/0!</v>
      </c>
      <c r="U345" s="23" t="e">
        <f t="shared" si="113"/>
        <v>#DIV/0!</v>
      </c>
      <c r="Y345" s="8" t="str">
        <f t="shared" si="126"/>
        <v>PAUH67725GP30UX</v>
      </c>
      <c r="Z345" s="8" t="str">
        <f>IF(Y345='Input - Bookings'!Q342,"OK","Check")</f>
        <v>Check</v>
      </c>
      <c r="AA345" s="118"/>
      <c r="AB345" s="103"/>
      <c r="AC345" s="103"/>
      <c r="AD345" s="100">
        <v>10939.286611138117</v>
      </c>
      <c r="AE345" s="100"/>
      <c r="AF345" s="8" t="str">
        <f t="array" ref="AF345">_xlfn.XLOOKUP($G345,'AP Plants'!D:D,'AP Plants'!B:B)</f>
        <v>Class 5 NOT BT</v>
      </c>
      <c r="AG345" s="102">
        <f>AD345*'Currency &amp; Conversion'!$L$6</f>
        <v>16290.785621306884</v>
      </c>
      <c r="AH345" s="102"/>
      <c r="AI345" s="44">
        <v>1.4999999999999999E-2</v>
      </c>
      <c r="AJ345" s="15">
        <f>_xlfn.XLOOKUP($AF345,Warranty!B:B,Warranty!E:E)</f>
        <v>5.0000000000000001E-3</v>
      </c>
      <c r="AK345" s="8">
        <f>IF($I345="AUD",VLOOKUP(RIGHT('Wk - Margins'!$G345,3),'AU Freight'!C:G,5,0),0)</f>
        <v>2000</v>
      </c>
      <c r="AL345" s="15">
        <f t="shared" si="127"/>
        <v>0</v>
      </c>
      <c r="AM345" s="61">
        <f t="shared" si="128"/>
        <v>18616.601333733019</v>
      </c>
      <c r="AN345" s="63">
        <f t="shared" si="129"/>
        <v>0.16595557594704424</v>
      </c>
      <c r="AQ345" s="147"/>
    </row>
    <row r="346" spans="1:43">
      <c r="A346" s="10" t="str">
        <f>'Input - Bookings'!A346</f>
        <v>10-24</v>
      </c>
      <c r="B346" s="11" t="str">
        <f>'Input - Bookings'!C346</f>
        <v>P</v>
      </c>
      <c r="C346" s="11" t="str">
        <f>'Input - Bookings'!H346</f>
        <v>AU</v>
      </c>
      <c r="D346" s="24" t="str">
        <f>'Input - Bookings'!E346</f>
        <v>065</v>
      </c>
      <c r="E346" s="24" t="str">
        <f>'Input - Bookings'!G346</f>
        <v>ADAPT-A-LIFT GROUP (NSW)</v>
      </c>
      <c r="F346" s="24" t="str">
        <f>'Input - Bookings'!I346</f>
        <v>H67821</v>
      </c>
      <c r="G346" s="24" t="str">
        <f>'Input - Bookings'!L346</f>
        <v>D466</v>
      </c>
      <c r="H346" s="24" t="str">
        <f>'Input - Bookings'!M346</f>
        <v>H2.5XT</v>
      </c>
      <c r="I346" s="24" t="str">
        <f>'Input - Bookings'!B346</f>
        <v>AUD</v>
      </c>
      <c r="J346" s="13" t="str">
        <f>IF(I346="USD",INDEX('AP Plants'!A:A,MATCH(G346,'AP Plants'!D:D,0)),INDEX('Australia Plants'!A:A,MATCH(G346,'Australia Plants'!D:D,0)))</f>
        <v>SN</v>
      </c>
      <c r="K346" s="73">
        <v>1</v>
      </c>
      <c r="L346" s="97">
        <v>41580</v>
      </c>
      <c r="M346" s="97">
        <v>31965.674999999999</v>
      </c>
      <c r="N346" s="99">
        <v>0.16210082343059407</v>
      </c>
      <c r="O346" s="25">
        <f t="shared" si="122"/>
        <v>0.23122474747474753</v>
      </c>
      <c r="P346" s="14">
        <f>IFERROR(IF(OR(B346&amp;C346="PAU",B346&amp;C346="AIN"),VLOOKUP(B346&amp;C346&amp;G346,#REF!,8,0),VLOOKUP(B346&amp;G346,#REF!,8,0)),0)</f>
        <v>0</v>
      </c>
      <c r="Q346" s="15">
        <f t="shared" si="123"/>
        <v>0.16210082343059407</v>
      </c>
      <c r="R346" s="16" t="str">
        <f t="shared" si="124"/>
        <v>AOP</v>
      </c>
      <c r="S346" s="17">
        <f t="shared" si="116"/>
        <v>5181.662239014755</v>
      </c>
      <c r="T346" s="18" t="e">
        <f t="shared" si="125"/>
        <v>#DIV/0!</v>
      </c>
      <c r="U346" s="23" t="e">
        <f t="shared" si="113"/>
        <v>#DIV/0!</v>
      </c>
      <c r="Y346" s="8" t="str">
        <f t="shared" si="126"/>
        <v>PAUH67821H2.5XT</v>
      </c>
      <c r="Z346" s="8" t="str">
        <f>IF(Y346='Input - Bookings'!Q343,"OK","Check")</f>
        <v>Check</v>
      </c>
      <c r="AA346" s="118"/>
      <c r="AB346" s="103"/>
      <c r="AC346" s="103"/>
      <c r="AD346" s="100">
        <v>16230.594108288993</v>
      </c>
      <c r="AE346" s="100"/>
      <c r="AF346" s="8" t="str">
        <f t="array" ref="AF346">_xlfn.XLOOKUP($G346,'AP Plants'!D:D,'AP Plants'!B:B)</f>
        <v>Class 5 NOT BT</v>
      </c>
      <c r="AG346" s="102">
        <f>AD346*'Currency &amp; Conversion'!$L$6</f>
        <v>24170.60074606397</v>
      </c>
      <c r="AH346" s="102"/>
      <c r="AI346" s="44">
        <v>1.4999999999999999E-2</v>
      </c>
      <c r="AJ346" s="15">
        <f>_xlfn.XLOOKUP($AF346,Warranty!B:B,Warranty!E:E)</f>
        <v>5.0000000000000001E-3</v>
      </c>
      <c r="AK346" s="8">
        <f>IF($I346="AUD",VLOOKUP(RIGHT('Wk - Margins'!$G346,3),'AU Freight'!C:G,5,0),0)</f>
        <v>2130</v>
      </c>
      <c r="AL346" s="15">
        <f t="shared" si="127"/>
        <v>0</v>
      </c>
      <c r="AM346" s="61">
        <f t="shared" si="128"/>
        <v>26784.012760985246</v>
      </c>
      <c r="AN346" s="63">
        <f t="shared" si="129"/>
        <v>0.16210082343059407</v>
      </c>
      <c r="AQ346" s="147"/>
    </row>
    <row r="347" spans="1:43">
      <c r="A347" s="10" t="str">
        <f>'Input - Bookings'!A347</f>
        <v>10-24</v>
      </c>
      <c r="B347" s="11" t="str">
        <f>'Input - Bookings'!C347</f>
        <v>P</v>
      </c>
      <c r="C347" s="11" t="str">
        <f>'Input - Bookings'!H347</f>
        <v>AU</v>
      </c>
      <c r="D347" s="24" t="str">
        <f>'Input - Bookings'!E347</f>
        <v>065</v>
      </c>
      <c r="E347" s="24" t="str">
        <f>'Input - Bookings'!G347</f>
        <v>ADAPT-A-LIFT GROUP (NSW)</v>
      </c>
      <c r="F347" s="24" t="str">
        <f>'Input - Bookings'!I347</f>
        <v>H67827</v>
      </c>
      <c r="G347" s="24" t="str">
        <f>'Input - Bookings'!L347</f>
        <v>D466</v>
      </c>
      <c r="H347" s="24" t="str">
        <f>'Input - Bookings'!M347</f>
        <v>H2.5XT</v>
      </c>
      <c r="I347" s="24" t="str">
        <f>'Input - Bookings'!B347</f>
        <v>AUD</v>
      </c>
      <c r="J347" s="13" t="str">
        <f>IF(I347="USD",INDEX('AP Plants'!A:A,MATCH(G347,'AP Plants'!D:D,0)),INDEX('Australia Plants'!A:A,MATCH(G347,'Australia Plants'!D:D,0)))</f>
        <v>SN</v>
      </c>
      <c r="K347" s="73">
        <v>1</v>
      </c>
      <c r="L347" s="97">
        <v>41580</v>
      </c>
      <c r="M347" s="97">
        <v>31965.674999999999</v>
      </c>
      <c r="N347" s="99">
        <v>0.16210082343059407</v>
      </c>
      <c r="O347" s="25">
        <f t="shared" si="122"/>
        <v>0.23122474747474753</v>
      </c>
      <c r="P347" s="14">
        <f>IFERROR(IF(OR(B347&amp;C347="PAU",B347&amp;C347="AIN"),VLOOKUP(B347&amp;C347&amp;G347,#REF!,8,0),VLOOKUP(B347&amp;G347,#REF!,8,0)),0)</f>
        <v>0</v>
      </c>
      <c r="Q347" s="15">
        <f t="shared" si="123"/>
        <v>0.16210082343059407</v>
      </c>
      <c r="R347" s="16" t="str">
        <f t="shared" si="124"/>
        <v>AOP</v>
      </c>
      <c r="S347" s="17">
        <f t="shared" si="116"/>
        <v>5181.662239014755</v>
      </c>
      <c r="T347" s="18" t="e">
        <f t="shared" si="125"/>
        <v>#DIV/0!</v>
      </c>
      <c r="U347" s="23" t="e">
        <f t="shared" si="113"/>
        <v>#DIV/0!</v>
      </c>
      <c r="Y347" s="8" t="str">
        <f t="shared" si="126"/>
        <v>PAUH67827H2.5XT</v>
      </c>
      <c r="Z347" s="8" t="str">
        <f>IF(Y347='Input - Bookings'!Q344,"OK","Check")</f>
        <v>Check</v>
      </c>
      <c r="AA347" s="118"/>
      <c r="AB347" s="103"/>
      <c r="AC347" s="103"/>
      <c r="AD347" s="100">
        <v>16230.594108288993</v>
      </c>
      <c r="AE347" s="100"/>
      <c r="AF347" s="8" t="str">
        <f t="array" ref="AF347">_xlfn.XLOOKUP($G347,'AP Plants'!D:D,'AP Plants'!B:B)</f>
        <v>Class 5 NOT BT</v>
      </c>
      <c r="AG347" s="102">
        <f>AD347*'Currency &amp; Conversion'!$L$6</f>
        <v>24170.60074606397</v>
      </c>
      <c r="AH347" s="102"/>
      <c r="AI347" s="44">
        <v>1.4999999999999999E-2</v>
      </c>
      <c r="AJ347" s="15">
        <f>_xlfn.XLOOKUP($AF347,Warranty!B:B,Warranty!E:E)</f>
        <v>5.0000000000000001E-3</v>
      </c>
      <c r="AK347" s="8">
        <f>IF($I347="AUD",VLOOKUP(RIGHT('Wk - Margins'!$G347,3),'AU Freight'!C:G,5,0),0)</f>
        <v>2130</v>
      </c>
      <c r="AL347" s="15">
        <f t="shared" si="127"/>
        <v>0</v>
      </c>
      <c r="AM347" s="61">
        <f t="shared" si="128"/>
        <v>26784.012760985246</v>
      </c>
      <c r="AN347" s="63">
        <f t="shared" si="129"/>
        <v>0.16210082343059407</v>
      </c>
      <c r="AQ347" s="147"/>
    </row>
    <row r="348" spans="1:43">
      <c r="A348" s="10" t="str">
        <f>'Input - Bookings'!A348</f>
        <v>10-24</v>
      </c>
      <c r="B348" s="11" t="str">
        <f>'Input - Bookings'!C348</f>
        <v>P</v>
      </c>
      <c r="C348" s="11" t="str">
        <f>'Input - Bookings'!H348</f>
        <v>AU</v>
      </c>
      <c r="D348" s="24" t="str">
        <f>'Input - Bookings'!E348</f>
        <v>065</v>
      </c>
      <c r="E348" s="24" t="str">
        <f>'Input - Bookings'!G348</f>
        <v>ADAPT-A-LIFT GROUP (NSW)</v>
      </c>
      <c r="F348" s="24" t="str">
        <f>'Input - Bookings'!I348</f>
        <v>H67822</v>
      </c>
      <c r="G348" s="24" t="str">
        <f>'Input - Bookings'!L348</f>
        <v>A3C1</v>
      </c>
      <c r="H348" s="24" t="str">
        <f>'Input - Bookings'!M348</f>
        <v>H3.5UT</v>
      </c>
      <c r="I348" s="24" t="str">
        <f>'Input - Bookings'!B348</f>
        <v>AUD</v>
      </c>
      <c r="J348" s="13" t="str">
        <f>IF(I348="USD",INDEX('AP Plants'!A:A,MATCH(G348,'AP Plants'!D:D,0)),INDEX('Australia Plants'!A:A,MATCH(G348,'Australia Plants'!D:D,0)))</f>
        <v>Maximal</v>
      </c>
      <c r="K348" s="73">
        <v>1</v>
      </c>
      <c r="L348" s="97">
        <v>35180</v>
      </c>
      <c r="M348" s="97">
        <v>25521.3</v>
      </c>
      <c r="N348" s="99">
        <v>0.24613561451980082</v>
      </c>
      <c r="O348" s="25">
        <f t="shared" si="122"/>
        <v>0.27455088118249005</v>
      </c>
      <c r="P348" s="14">
        <f>IFERROR(IF(OR(B348&amp;C348="PAU",B348&amp;C348="AIN"),VLOOKUP(B348&amp;C348&amp;G348,#REF!,8,0),VLOOKUP(B348&amp;G348,#REF!,8,0)),0)</f>
        <v>0</v>
      </c>
      <c r="Q348" s="15">
        <f t="shared" si="123"/>
        <v>0.24613561451980082</v>
      </c>
      <c r="R348" s="16" t="str">
        <f t="shared" si="124"/>
        <v>AOP</v>
      </c>
      <c r="S348" s="17">
        <f t="shared" si="116"/>
        <v>6281.7008588441922</v>
      </c>
      <c r="T348" s="18" t="e">
        <f t="shared" si="125"/>
        <v>#DIV/0!</v>
      </c>
      <c r="U348" s="23" t="e">
        <f t="shared" si="113"/>
        <v>#DIV/0!</v>
      </c>
      <c r="Y348" s="8" t="str">
        <f t="shared" si="126"/>
        <v>PAUH67822H3.5UT</v>
      </c>
      <c r="Z348" s="8" t="str">
        <f>IF(Y348='Input - Bookings'!Q345,"OK","Check")</f>
        <v>Check</v>
      </c>
      <c r="AA348" s="118"/>
      <c r="AB348" s="103"/>
      <c r="AC348" s="103"/>
      <c r="AD348" s="100">
        <v>11349.427736668593</v>
      </c>
      <c r="AE348" s="110"/>
      <c r="AF348" s="8" t="str">
        <f t="array" ref="AF348">_xlfn.XLOOKUP($G348,'AP Plants'!D:D,'AP Plants'!B:B)</f>
        <v>Class 5 NOT BT</v>
      </c>
      <c r="AG348" s="102">
        <f>AD348*'Currency &amp; Conversion'!$L$6</f>
        <v>16901.56778544687</v>
      </c>
      <c r="AH348" s="102"/>
      <c r="AI348" s="44">
        <v>1.4999999999999999E-2</v>
      </c>
      <c r="AJ348" s="15">
        <f>_xlfn.XLOOKUP($AF348,Warranty!B:B,Warranty!E:E)</f>
        <v>5.0000000000000001E-3</v>
      </c>
      <c r="AK348" s="8">
        <f>IF($I348="AUD",VLOOKUP(RIGHT('Wk - Margins'!$G348,3),'AU Freight'!C:G,5,0),0)</f>
        <v>2000</v>
      </c>
      <c r="AL348" s="15">
        <f t="shared" si="127"/>
        <v>0</v>
      </c>
      <c r="AM348" s="61">
        <f t="shared" si="128"/>
        <v>19239.599141155806</v>
      </c>
      <c r="AN348" s="63">
        <f t="shared" si="129"/>
        <v>0.24613561451980082</v>
      </c>
      <c r="AQ348" s="147"/>
    </row>
    <row r="349" spans="1:43">
      <c r="A349" s="10" t="str">
        <f>'Input - Bookings'!A349</f>
        <v>10-24</v>
      </c>
      <c r="B349" s="11" t="str">
        <f>'Input - Bookings'!C349</f>
        <v>P</v>
      </c>
      <c r="C349" s="11" t="str">
        <f>'Input - Bookings'!H349</f>
        <v>AU</v>
      </c>
      <c r="D349" s="24" t="str">
        <f>'Input - Bookings'!E349</f>
        <v>065</v>
      </c>
      <c r="E349" s="24" t="str">
        <f>'Input - Bookings'!G349</f>
        <v>ADAPT-A-LIFT GROUP (NSW)</v>
      </c>
      <c r="F349" s="24" t="str">
        <f>'Input - Bookings'!I349</f>
        <v>H67828</v>
      </c>
      <c r="G349" s="24" t="str">
        <f>'Input - Bookings'!L349</f>
        <v>A3C1</v>
      </c>
      <c r="H349" s="24" t="str">
        <f>'Input - Bookings'!M349</f>
        <v>H3.5UT</v>
      </c>
      <c r="I349" s="24" t="str">
        <f>'Input - Bookings'!B349</f>
        <v>AUD</v>
      </c>
      <c r="J349" s="13" t="str">
        <f>IF(I349="USD",INDEX('AP Plants'!A:A,MATCH(G349,'AP Plants'!D:D,0)),INDEX('Australia Plants'!A:A,MATCH(G349,'Australia Plants'!D:D,0)))</f>
        <v>Maximal</v>
      </c>
      <c r="K349" s="73">
        <v>1</v>
      </c>
      <c r="L349" s="97">
        <v>35180</v>
      </c>
      <c r="M349" s="97">
        <v>25521.3</v>
      </c>
      <c r="N349" s="99">
        <v>0.24613561451980082</v>
      </c>
      <c r="O349" s="25">
        <f t="shared" si="122"/>
        <v>0.27455088118249005</v>
      </c>
      <c r="P349" s="14">
        <f>IFERROR(IF(OR(B349&amp;C349="PAU",B349&amp;C349="AIN"),VLOOKUP(B349&amp;C349&amp;G349,#REF!,8,0),VLOOKUP(B349&amp;G349,#REF!,8,0)),0)</f>
        <v>0</v>
      </c>
      <c r="Q349" s="15">
        <f t="shared" si="123"/>
        <v>0.24613561451980082</v>
      </c>
      <c r="R349" s="16" t="str">
        <f t="shared" si="124"/>
        <v>AOP</v>
      </c>
      <c r="S349" s="17">
        <f t="shared" si="116"/>
        <v>6281.7008588441922</v>
      </c>
      <c r="T349" s="18" t="e">
        <f t="shared" si="125"/>
        <v>#DIV/0!</v>
      </c>
      <c r="U349" s="23" t="e">
        <f t="shared" si="113"/>
        <v>#DIV/0!</v>
      </c>
      <c r="Y349" s="8" t="str">
        <f t="shared" si="126"/>
        <v>PAUH67828H3.5UT</v>
      </c>
      <c r="Z349" s="8" t="str">
        <f>IF(Y349='Input - Bookings'!Q346,"OK","Check")</f>
        <v>Check</v>
      </c>
      <c r="AA349" s="118"/>
      <c r="AB349" s="103"/>
      <c r="AC349" s="103"/>
      <c r="AD349" s="100">
        <v>11349.427736668593</v>
      </c>
      <c r="AE349" s="110"/>
      <c r="AF349" s="8" t="str">
        <f t="array" ref="AF349">_xlfn.XLOOKUP($G349,'AP Plants'!D:D,'AP Plants'!B:B)</f>
        <v>Class 5 NOT BT</v>
      </c>
      <c r="AG349" s="102">
        <f>AD349*'Currency &amp; Conversion'!$L$6</f>
        <v>16901.56778544687</v>
      </c>
      <c r="AH349" s="102"/>
      <c r="AI349" s="44">
        <v>1.4999999999999999E-2</v>
      </c>
      <c r="AJ349" s="15">
        <f>_xlfn.XLOOKUP($AF349,Warranty!B:B,Warranty!E:E)</f>
        <v>5.0000000000000001E-3</v>
      </c>
      <c r="AK349" s="8">
        <f>IF($I349="AUD",VLOOKUP(RIGHT('Wk - Margins'!$G349,3),'AU Freight'!C:G,5,0),0)</f>
        <v>2000</v>
      </c>
      <c r="AL349" s="15">
        <f t="shared" si="127"/>
        <v>0</v>
      </c>
      <c r="AM349" s="61">
        <f t="shared" si="128"/>
        <v>19239.599141155806</v>
      </c>
      <c r="AN349" s="63">
        <f t="shared" si="129"/>
        <v>0.24613561451980082</v>
      </c>
      <c r="AQ349" s="147"/>
    </row>
    <row r="350" spans="1:43">
      <c r="A350" s="10" t="str">
        <f>'Input - Bookings'!A350</f>
        <v>10-24</v>
      </c>
      <c r="B350" s="11" t="str">
        <f>'Input - Bookings'!C350</f>
        <v>P</v>
      </c>
      <c r="C350" s="11" t="str">
        <f>'Input - Bookings'!H350</f>
        <v>AU</v>
      </c>
      <c r="D350" s="24" t="str">
        <f>'Input - Bookings'!E350</f>
        <v>065</v>
      </c>
      <c r="E350" s="24" t="str">
        <f>'Input - Bookings'!G350</f>
        <v>ADAPT-A-LIFT GROUP (NSW)</v>
      </c>
      <c r="F350" s="24" t="str">
        <f>'Input - Bookings'!I350</f>
        <v>H67823</v>
      </c>
      <c r="G350" s="24" t="str">
        <f>'Input - Bookings'!L350</f>
        <v>D466</v>
      </c>
      <c r="H350" s="24" t="str">
        <f>'Input - Bookings'!M350</f>
        <v>H3.5XT</v>
      </c>
      <c r="I350" s="24" t="str">
        <f>'Input - Bookings'!B350</f>
        <v>AUD</v>
      </c>
      <c r="J350" s="13" t="str">
        <f>IF(I350="USD",INDEX('AP Plants'!A:A,MATCH(G350,'AP Plants'!D:D,0)),INDEX('Australia Plants'!A:A,MATCH(G350,'Australia Plants'!D:D,0)))</f>
        <v>SN</v>
      </c>
      <c r="K350" s="73">
        <v>1</v>
      </c>
      <c r="L350" s="97">
        <v>50115</v>
      </c>
      <c r="M350" s="97">
        <v>37070.675000000003</v>
      </c>
      <c r="N350" s="99">
        <v>0.12957344270084459</v>
      </c>
      <c r="O350" s="25">
        <f t="shared" si="122"/>
        <v>0.26028783797266286</v>
      </c>
      <c r="P350" s="14">
        <f>IFERROR(IF(OR(B350&amp;C350="PAU",B350&amp;C350="AIN"),VLOOKUP(B350&amp;C350&amp;G350,#REF!,8,0),VLOOKUP(B350&amp;G350,#REF!,8,0)),0)</f>
        <v>0</v>
      </c>
      <c r="Q350" s="15">
        <f t="shared" si="123"/>
        <v>0.12957344270084459</v>
      </c>
      <c r="R350" s="16" t="str">
        <f t="shared" si="124"/>
        <v>AOP</v>
      </c>
      <c r="S350" s="17">
        <f t="shared" si="116"/>
        <v>4803.3749829941326</v>
      </c>
      <c r="T350" s="18" t="e">
        <f t="shared" si="125"/>
        <v>#DIV/0!</v>
      </c>
      <c r="U350" s="23" t="e">
        <f t="shared" si="113"/>
        <v>#DIV/0!</v>
      </c>
      <c r="Y350" s="8" t="str">
        <f t="shared" si="126"/>
        <v>PAUH67823H3.5XT</v>
      </c>
      <c r="Z350" s="8" t="str">
        <f>IF(Y350='Input - Bookings'!Q347,"OK","Check")</f>
        <v>Check</v>
      </c>
      <c r="AA350" s="118"/>
      <c r="AB350" s="103"/>
      <c r="AC350" s="103"/>
      <c r="AD350" s="100">
        <v>19840.43282681442</v>
      </c>
      <c r="AE350" s="110"/>
      <c r="AF350" s="8" t="str">
        <f t="array" ref="AF350">_xlfn.XLOOKUP($G350,'AP Plants'!D:D,'AP Plants'!B:B)</f>
        <v>Class 5 NOT BT</v>
      </c>
      <c r="AG350" s="102">
        <f>AD350*'Currency &amp; Conversion'!$L$6</f>
        <v>29546.372565692036</v>
      </c>
      <c r="AH350" s="102"/>
      <c r="AI350" s="44">
        <v>1.4999999999999999E-2</v>
      </c>
      <c r="AJ350" s="15">
        <f>_xlfn.XLOOKUP($AF350,Warranty!B:B,Warranty!E:E)</f>
        <v>5.0000000000000001E-3</v>
      </c>
      <c r="AK350" s="8">
        <f>IF($I350="AUD",VLOOKUP(RIGHT('Wk - Margins'!$G350,3),'AU Freight'!C:G,5,0),0)</f>
        <v>2130</v>
      </c>
      <c r="AL350" s="15">
        <f t="shared" si="127"/>
        <v>0</v>
      </c>
      <c r="AM350" s="61">
        <f t="shared" si="128"/>
        <v>32267.300017005869</v>
      </c>
      <c r="AN350" s="63">
        <f t="shared" si="129"/>
        <v>0.12957344270084459</v>
      </c>
      <c r="AQ350" s="147"/>
    </row>
    <row r="351" spans="1:43">
      <c r="A351" s="10" t="str">
        <f>'Input - Bookings'!A351</f>
        <v>10-24</v>
      </c>
      <c r="B351" s="11" t="str">
        <f>'Input - Bookings'!C351</f>
        <v>P</v>
      </c>
      <c r="C351" s="11" t="str">
        <f>'Input - Bookings'!H351</f>
        <v>AU</v>
      </c>
      <c r="D351" s="24" t="str">
        <f>'Input - Bookings'!E351</f>
        <v>065</v>
      </c>
      <c r="E351" s="24" t="str">
        <f>'Input - Bookings'!G351</f>
        <v>ADAPT-A-LIFT GROUP (NSW)</v>
      </c>
      <c r="F351" s="24" t="str">
        <f>'Input - Bookings'!I351</f>
        <v>H67829</v>
      </c>
      <c r="G351" s="24" t="str">
        <f>'Input - Bookings'!L351</f>
        <v>D466</v>
      </c>
      <c r="H351" s="24" t="str">
        <f>'Input - Bookings'!M351</f>
        <v>H3.5XT</v>
      </c>
      <c r="I351" s="24" t="str">
        <f>'Input - Bookings'!B351</f>
        <v>AUD</v>
      </c>
      <c r="J351" s="13" t="str">
        <f>IF(I351="USD",INDEX('AP Plants'!A:A,MATCH(G351,'AP Plants'!D:D,0)),INDEX('Australia Plants'!A:A,MATCH(G351,'Australia Plants'!D:D,0)))</f>
        <v>SN</v>
      </c>
      <c r="K351" s="73">
        <v>1</v>
      </c>
      <c r="L351" s="97">
        <v>50115</v>
      </c>
      <c r="M351" s="97">
        <v>37070.675000000003</v>
      </c>
      <c r="N351" s="99">
        <v>0.12957344270084459</v>
      </c>
      <c r="O351" s="25">
        <f t="shared" si="122"/>
        <v>0.26028783797266286</v>
      </c>
      <c r="P351" s="14">
        <f>IFERROR(IF(OR(B351&amp;C351="PAU",B351&amp;C351="AIN"),VLOOKUP(B351&amp;C351&amp;G351,#REF!,8,0),VLOOKUP(B351&amp;G351,#REF!,8,0)),0)</f>
        <v>0</v>
      </c>
      <c r="Q351" s="15">
        <f t="shared" si="123"/>
        <v>0.12957344270084459</v>
      </c>
      <c r="R351" s="16" t="str">
        <f t="shared" si="124"/>
        <v>AOP</v>
      </c>
      <c r="S351" s="17">
        <f t="shared" si="116"/>
        <v>4803.3749829941326</v>
      </c>
      <c r="T351" s="18" t="e">
        <f t="shared" si="125"/>
        <v>#DIV/0!</v>
      </c>
      <c r="U351" s="23" t="e">
        <f t="shared" si="113"/>
        <v>#DIV/0!</v>
      </c>
      <c r="Y351" s="8" t="str">
        <f t="shared" si="126"/>
        <v>PAUH67829H3.5XT</v>
      </c>
      <c r="Z351" s="8" t="str">
        <f>IF(Y351='Input - Bookings'!Q348,"OK","Check")</f>
        <v>Check</v>
      </c>
      <c r="AA351" s="118"/>
      <c r="AB351" s="103"/>
      <c r="AC351" s="103"/>
      <c r="AD351" s="100">
        <v>19840.43282681442</v>
      </c>
      <c r="AE351" s="100"/>
      <c r="AF351" s="8" t="str">
        <f t="array" ref="AF351">_xlfn.XLOOKUP($G351,'AP Plants'!D:D,'AP Plants'!B:B)</f>
        <v>Class 5 NOT BT</v>
      </c>
      <c r="AG351" s="102">
        <f>AD351*'Currency &amp; Conversion'!$L$6</f>
        <v>29546.372565692036</v>
      </c>
      <c r="AH351" s="102"/>
      <c r="AI351" s="44">
        <v>1.4999999999999999E-2</v>
      </c>
      <c r="AJ351" s="15">
        <f>_xlfn.XLOOKUP($AF351,Warranty!B:B,Warranty!E:E)</f>
        <v>5.0000000000000001E-3</v>
      </c>
      <c r="AK351" s="8">
        <f>IF($I351="AUD",VLOOKUP(RIGHT('Wk - Margins'!$G351,3),'AU Freight'!C:G,5,0),0)</f>
        <v>2130</v>
      </c>
      <c r="AL351" s="15">
        <f t="shared" si="127"/>
        <v>0</v>
      </c>
      <c r="AM351" s="61">
        <f t="shared" si="128"/>
        <v>32267.300017005869</v>
      </c>
      <c r="AN351" s="63">
        <f t="shared" si="129"/>
        <v>0.12957344270084459</v>
      </c>
      <c r="AQ351" s="147"/>
    </row>
    <row r="352" spans="1:43">
      <c r="A352" s="10" t="str">
        <f>'Input - Bookings'!A352</f>
        <v>10-24</v>
      </c>
      <c r="B352" s="11" t="str">
        <f>'Input - Bookings'!C352</f>
        <v>P</v>
      </c>
      <c r="C352" s="11" t="str">
        <f>'Input - Bookings'!H352</f>
        <v>AU</v>
      </c>
      <c r="D352" s="24" t="str">
        <f>'Input - Bookings'!E352</f>
        <v>065</v>
      </c>
      <c r="E352" s="24" t="str">
        <f>'Input - Bookings'!G352</f>
        <v>ADAPT-A-LIFT GROUP (NSW)</v>
      </c>
      <c r="F352" s="146" t="str">
        <f>'Input - Bookings'!I352</f>
        <v>H67824</v>
      </c>
      <c r="G352" s="24" t="str">
        <f>'Input - Bookings'!L352</f>
        <v>A3C4</v>
      </c>
      <c r="H352" s="24" t="str">
        <f>'Input - Bookings'!M352</f>
        <v>J2.5UT</v>
      </c>
      <c r="I352" s="24" t="str">
        <f>'Input - Bookings'!B352</f>
        <v>AUD</v>
      </c>
      <c r="J352" s="13" t="str">
        <f>IF(I352="USD",INDEX('AP Plants'!A:A,MATCH(G352,'AP Plants'!D:D,0)),INDEX('Australia Plants'!A:A,MATCH(G352,'Australia Plants'!D:D,0)))</f>
        <v>Maximal</v>
      </c>
      <c r="K352" s="73">
        <v>1</v>
      </c>
      <c r="L352" s="97">
        <v>38485</v>
      </c>
      <c r="M352" s="97">
        <v>29885.95</v>
      </c>
      <c r="N352" s="99">
        <v>0.15791713966656906</v>
      </c>
      <c r="O352" s="25">
        <f t="shared" si="122"/>
        <v>0.22343900220865265</v>
      </c>
      <c r="P352" s="14">
        <f>IFERROR(IF(OR(B352&amp;C352="PAU",B352&amp;C352="AIN"),VLOOKUP(B352&amp;C352&amp;G352,#REF!,8,0),VLOOKUP(B352&amp;G352,#REF!,8,0)),0)</f>
        <v>0</v>
      </c>
      <c r="Q352" s="15">
        <f t="shared" si="123"/>
        <v>0.15791713966656906</v>
      </c>
      <c r="R352" s="16" t="str">
        <f t="shared" si="124"/>
        <v>AOP</v>
      </c>
      <c r="S352" s="17">
        <f t="shared" si="116"/>
        <v>4719.5037402180997</v>
      </c>
      <c r="T352" s="18" t="e">
        <f t="shared" si="125"/>
        <v>#DIV/0!</v>
      </c>
      <c r="U352" s="23" t="e">
        <f t="shared" si="113"/>
        <v>#DIV/0!</v>
      </c>
      <c r="Y352" s="8" t="str">
        <f t="shared" si="126"/>
        <v>PAUH67824J2.5UT</v>
      </c>
      <c r="Z352" s="8" t="str">
        <f>IF(Y352='Input - Bookings'!Q349,"OK","Check")</f>
        <v>Check</v>
      </c>
      <c r="AA352" s="118"/>
      <c r="AB352" s="103"/>
      <c r="AC352" s="103"/>
      <c r="AD352" s="100">
        <f>15051.2773404999+200</f>
        <v>15251.277340499901</v>
      </c>
      <c r="AE352" s="100"/>
      <c r="AF352" s="8" t="str">
        <f t="array" ref="AF352">_xlfn.XLOOKUP($G352,'AP Plants'!D:D,'AP Plants'!B:B)</f>
        <v>Class 1</v>
      </c>
      <c r="AG352" s="102">
        <f>AD352*'Currency &amp; Conversion'!$L$6</f>
        <v>22712.202215472455</v>
      </c>
      <c r="AH352" s="102"/>
      <c r="AI352" s="44">
        <v>1.4999999999999999E-2</v>
      </c>
      <c r="AJ352" s="15">
        <f>_xlfn.XLOOKUP($AF352,Warranty!B:B,Warranty!E:E)</f>
        <v>5.0000000000000001E-3</v>
      </c>
      <c r="AK352" s="8">
        <f>IF($I352="AUD",VLOOKUP(RIGHT('Wk - Margins'!$G352,3),'AU Freight'!C:G,5,0),0)</f>
        <v>2000</v>
      </c>
      <c r="AL352" s="15">
        <f t="shared" si="127"/>
        <v>0</v>
      </c>
      <c r="AM352" s="61">
        <f t="shared" si="128"/>
        <v>25166.4462597819</v>
      </c>
      <c r="AN352" s="63">
        <f t="shared" si="129"/>
        <v>0.15791713966656906</v>
      </c>
      <c r="AQ352" s="147"/>
    </row>
    <row r="353" spans="1:43">
      <c r="A353" s="10" t="str">
        <f>'Input - Bookings'!A353</f>
        <v>10-24</v>
      </c>
      <c r="B353" s="11" t="str">
        <f>'Input - Bookings'!C353</f>
        <v>P</v>
      </c>
      <c r="C353" s="11" t="str">
        <f>'Input - Bookings'!H353</f>
        <v>AU</v>
      </c>
      <c r="D353" s="24" t="str">
        <f>'Input - Bookings'!E353</f>
        <v>065</v>
      </c>
      <c r="E353" s="24" t="str">
        <f>'Input - Bookings'!G353</f>
        <v>ADAPT-A-LIFT GROUP (NSW)</v>
      </c>
      <c r="F353" s="146" t="str">
        <f>'Input - Bookings'!I353</f>
        <v>H67830</v>
      </c>
      <c r="G353" s="24" t="str">
        <f>'Input - Bookings'!L353</f>
        <v>A3C4</v>
      </c>
      <c r="H353" s="24" t="str">
        <f>'Input - Bookings'!M353</f>
        <v>J2.5UT</v>
      </c>
      <c r="I353" s="24" t="str">
        <f>'Input - Bookings'!B353</f>
        <v>AUD</v>
      </c>
      <c r="J353" s="13" t="str">
        <f>IF(I353="USD",INDEX('AP Plants'!A:A,MATCH(G353,'AP Plants'!D:D,0)),INDEX('Australia Plants'!A:A,MATCH(G353,'Australia Plants'!D:D,0)))</f>
        <v>Maximal</v>
      </c>
      <c r="K353" s="73">
        <v>1</v>
      </c>
      <c r="L353" s="97">
        <v>38485</v>
      </c>
      <c r="M353" s="97">
        <v>29885.95</v>
      </c>
      <c r="N353" s="99">
        <v>0.15791713966656906</v>
      </c>
      <c r="O353" s="25">
        <f t="shared" si="122"/>
        <v>0.22343900220865265</v>
      </c>
      <c r="P353" s="14">
        <f>IFERROR(IF(OR(B353&amp;C353="PAU",B353&amp;C353="AIN"),VLOOKUP(B353&amp;C353&amp;G353,#REF!,8,0),VLOOKUP(B353&amp;G353,#REF!,8,0)),0)</f>
        <v>0</v>
      </c>
      <c r="Q353" s="15">
        <f t="shared" si="123"/>
        <v>0.15791713966656906</v>
      </c>
      <c r="R353" s="16" t="str">
        <f t="shared" si="124"/>
        <v>AOP</v>
      </c>
      <c r="S353" s="17">
        <f t="shared" si="116"/>
        <v>4719.5037402180997</v>
      </c>
      <c r="T353" s="18" t="e">
        <f t="shared" si="125"/>
        <v>#DIV/0!</v>
      </c>
      <c r="U353" s="23" t="e">
        <f t="shared" si="113"/>
        <v>#DIV/0!</v>
      </c>
      <c r="Y353" s="8" t="str">
        <f t="shared" si="126"/>
        <v>PAUH67830J2.5UT</v>
      </c>
      <c r="Z353" s="8" t="str">
        <f>IF(Y353='Input - Bookings'!Q350,"OK","Check")</f>
        <v>Check</v>
      </c>
      <c r="AA353" s="139"/>
      <c r="AB353" s="103"/>
      <c r="AC353" s="103"/>
      <c r="AD353" s="100">
        <f>15051.2773404999+200</f>
        <v>15251.277340499901</v>
      </c>
      <c r="AE353" s="100"/>
      <c r="AF353" s="8" t="str">
        <f t="array" ref="AF353">_xlfn.XLOOKUP($G353,'AP Plants'!D:D,'AP Plants'!B:B)</f>
        <v>Class 1</v>
      </c>
      <c r="AG353" s="102">
        <f>AD353*'Currency &amp; Conversion'!$L$6</f>
        <v>22712.202215472455</v>
      </c>
      <c r="AH353" s="102"/>
      <c r="AI353" s="44">
        <v>1.4999999999999999E-2</v>
      </c>
      <c r="AJ353" s="15">
        <f>_xlfn.XLOOKUP($AF353,Warranty!B:B,Warranty!E:E)</f>
        <v>5.0000000000000001E-3</v>
      </c>
      <c r="AK353" s="8">
        <f>IF($I353="AUD",VLOOKUP(RIGHT('Wk - Margins'!$G353,3),'AU Freight'!C:G,5,0),0)</f>
        <v>2000</v>
      </c>
      <c r="AL353" s="15">
        <f t="shared" si="127"/>
        <v>0</v>
      </c>
      <c r="AM353" s="61">
        <f t="shared" si="128"/>
        <v>25166.4462597819</v>
      </c>
      <c r="AN353" s="63">
        <f t="shared" si="129"/>
        <v>0.15791713966656906</v>
      </c>
      <c r="AQ353" s="147"/>
    </row>
    <row r="354" spans="1:43">
      <c r="A354" s="10" t="str">
        <f>'Input - Bookings'!A354</f>
        <v>10-24</v>
      </c>
      <c r="B354" s="11" t="str">
        <f>'Input - Bookings'!C354</f>
        <v>P</v>
      </c>
      <c r="C354" s="11" t="str">
        <f>'Input - Bookings'!H354</f>
        <v>AU</v>
      </c>
      <c r="D354" s="24" t="str">
        <f>'Input - Bookings'!E354</f>
        <v>065</v>
      </c>
      <c r="E354" s="24" t="str">
        <f>'Input - Bookings'!G354</f>
        <v>ADAPT-A-LIFT GROUP (NSW)</v>
      </c>
      <c r="F354" s="146" t="str">
        <f>'Input - Bookings'!I354</f>
        <v>H67825</v>
      </c>
      <c r="G354" s="24" t="str">
        <f>'Input - Bookings'!L354</f>
        <v>A3C4</v>
      </c>
      <c r="H354" s="24" t="str">
        <f>'Input - Bookings'!M354</f>
        <v>J1.8UT</v>
      </c>
      <c r="I354" s="24" t="str">
        <f>'Input - Bookings'!B354</f>
        <v>AUD</v>
      </c>
      <c r="J354" s="13" t="str">
        <f>IF(I354="USD",INDEX('AP Plants'!A:A,MATCH(G354,'AP Plants'!D:D,0)),INDEX('Australia Plants'!A:A,MATCH(G354,'Australia Plants'!D:D,0)))</f>
        <v>Maximal</v>
      </c>
      <c r="K354" s="73">
        <v>1</v>
      </c>
      <c r="L354" s="97">
        <v>33773</v>
      </c>
      <c r="M354" s="97">
        <v>26949.3</v>
      </c>
      <c r="N354" s="99">
        <v>0.1553925587639442</v>
      </c>
      <c r="O354" s="25">
        <f t="shared" si="122"/>
        <v>0.20204601308737746</v>
      </c>
      <c r="P354" s="14">
        <f>IFERROR(IF(OR(B354&amp;C354="PAU",B354&amp;C354="AIN"),VLOOKUP(B354&amp;C354&amp;G354,#REF!,8,0),VLOOKUP(B354&amp;G354,#REF!,8,0)),0)</f>
        <v>0</v>
      </c>
      <c r="Q354" s="15">
        <f t="shared" si="123"/>
        <v>0.1553925587639442</v>
      </c>
      <c r="R354" s="16" t="str">
        <f t="shared" si="124"/>
        <v>AOP</v>
      </c>
      <c r="S354" s="17">
        <f t="shared" si="116"/>
        <v>4187.7206838971615</v>
      </c>
      <c r="T354" s="18" t="e">
        <f t="shared" si="125"/>
        <v>#DIV/0!</v>
      </c>
      <c r="U354" s="23" t="e">
        <f t="shared" si="113"/>
        <v>#DIV/0!</v>
      </c>
      <c r="Y354" s="8" t="str">
        <f t="shared" si="126"/>
        <v>PAUH67825J1.8UT</v>
      </c>
      <c r="Z354" s="8" t="str">
        <f>IF(Y354='Input - Bookings'!Q351,"OK","Check")</f>
        <v>Check</v>
      </c>
      <c r="AA354" s="139"/>
      <c r="AB354" s="103"/>
      <c r="AC354" s="103"/>
      <c r="AD354" s="100">
        <f>13468.0697861879+200</f>
        <v>13668.0697861879</v>
      </c>
      <c r="AE354" s="100"/>
      <c r="AF354" s="8" t="str">
        <f t="array" ref="AF354">_xlfn.XLOOKUP($G354,'AP Plants'!D:D,'AP Plants'!B:B)</f>
        <v>Class 1</v>
      </c>
      <c r="AG354" s="102">
        <f>AD354*'Currency &amp; Conversion'!$L$6</f>
        <v>20354.489525591023</v>
      </c>
      <c r="AH354" s="102"/>
      <c r="AI354" s="44">
        <v>1.4999999999999999E-2</v>
      </c>
      <c r="AJ354" s="15">
        <f>_xlfn.XLOOKUP($AF354,Warranty!B:B,Warranty!E:E)</f>
        <v>5.0000000000000001E-3</v>
      </c>
      <c r="AK354" s="8">
        <f>IF($I354="AUD",VLOOKUP(RIGHT('Wk - Margins'!$G354,3),'AU Freight'!C:G,5,0),0)</f>
        <v>2000</v>
      </c>
      <c r="AL354" s="15">
        <f t="shared" si="127"/>
        <v>0</v>
      </c>
      <c r="AM354" s="61">
        <f t="shared" si="128"/>
        <v>22761.579316102838</v>
      </c>
      <c r="AN354" s="63">
        <f t="shared" si="129"/>
        <v>0.1553925587639442</v>
      </c>
      <c r="AQ354" s="147"/>
    </row>
    <row r="355" spans="1:43">
      <c r="A355" s="10" t="str">
        <f>'Input - Bookings'!A355</f>
        <v>10-24</v>
      </c>
      <c r="B355" s="11" t="str">
        <f>'Input - Bookings'!C355</f>
        <v>P</v>
      </c>
      <c r="C355" s="11" t="str">
        <f>'Input - Bookings'!H355</f>
        <v>AU</v>
      </c>
      <c r="D355" s="24" t="str">
        <f>'Input - Bookings'!E355</f>
        <v>065</v>
      </c>
      <c r="E355" s="24" t="str">
        <f>'Input - Bookings'!G355</f>
        <v>ADAPT-A-LIFT GROUP (NSW)</v>
      </c>
      <c r="F355" s="146" t="str">
        <f>'Input - Bookings'!I355</f>
        <v>H67831</v>
      </c>
      <c r="G355" s="24" t="str">
        <f>'Input - Bookings'!L355</f>
        <v>A3C4</v>
      </c>
      <c r="H355" s="24" t="str">
        <f>'Input - Bookings'!M355</f>
        <v>J1.8UT</v>
      </c>
      <c r="I355" s="24" t="str">
        <f>'Input - Bookings'!B355</f>
        <v>AUD</v>
      </c>
      <c r="J355" s="13" t="str">
        <f>IF(I355="USD",INDEX('AP Plants'!A:A,MATCH(G355,'AP Plants'!D:D,0)),INDEX('Australia Plants'!A:A,MATCH(G355,'Australia Plants'!D:D,0)))</f>
        <v>Maximal</v>
      </c>
      <c r="K355" s="73">
        <v>1</v>
      </c>
      <c r="L355" s="97">
        <v>33773</v>
      </c>
      <c r="M355" s="97">
        <v>26949.3</v>
      </c>
      <c r="N355" s="99">
        <v>0.1553925587639442</v>
      </c>
      <c r="O355" s="25">
        <f t="shared" si="122"/>
        <v>0.20204601308737746</v>
      </c>
      <c r="P355" s="14">
        <f>IFERROR(IF(OR(B355&amp;C355="PAU",B355&amp;C355="AIN"),VLOOKUP(B355&amp;C355&amp;G355,#REF!,8,0),VLOOKUP(B355&amp;G355,#REF!,8,0)),0)</f>
        <v>0</v>
      </c>
      <c r="Q355" s="15">
        <f t="shared" si="123"/>
        <v>0.1553925587639442</v>
      </c>
      <c r="R355" s="16" t="str">
        <f t="shared" si="124"/>
        <v>AOP</v>
      </c>
      <c r="S355" s="17">
        <f t="shared" si="116"/>
        <v>4187.7206838971615</v>
      </c>
      <c r="T355" s="18" t="e">
        <f t="shared" si="125"/>
        <v>#DIV/0!</v>
      </c>
      <c r="U355" s="23" t="e">
        <f t="shared" si="113"/>
        <v>#DIV/0!</v>
      </c>
      <c r="Y355" s="8" t="str">
        <f t="shared" si="126"/>
        <v>PAUH67831J1.8UT</v>
      </c>
      <c r="Z355" s="8" t="str">
        <f>IF(Y355='Input - Bookings'!Q352,"OK","Check")</f>
        <v>Check</v>
      </c>
      <c r="AA355" s="139"/>
      <c r="AB355" s="103"/>
      <c r="AC355" s="103"/>
      <c r="AD355" s="100">
        <f>13468.0697861879+200</f>
        <v>13668.0697861879</v>
      </c>
      <c r="AE355" s="110"/>
      <c r="AF355" s="8" t="str">
        <f t="array" ref="AF355">_xlfn.XLOOKUP($G355,'AP Plants'!D:D,'AP Plants'!B:B)</f>
        <v>Class 1</v>
      </c>
      <c r="AG355" s="102">
        <f>AD355*'Currency &amp; Conversion'!$L$6</f>
        <v>20354.489525591023</v>
      </c>
      <c r="AH355" s="102"/>
      <c r="AI355" s="44">
        <v>1.4999999999999999E-2</v>
      </c>
      <c r="AJ355" s="15">
        <f>_xlfn.XLOOKUP($AF355,Warranty!B:B,Warranty!E:E)</f>
        <v>5.0000000000000001E-3</v>
      </c>
      <c r="AK355" s="8">
        <f>IF($I355="AUD",VLOOKUP(RIGHT('Wk - Margins'!$G355,3),'AU Freight'!C:G,5,0),0)</f>
        <v>2000</v>
      </c>
      <c r="AL355" s="15">
        <f t="shared" si="127"/>
        <v>0</v>
      </c>
      <c r="AM355" s="61">
        <f t="shared" si="128"/>
        <v>22761.579316102838</v>
      </c>
      <c r="AN355" s="63">
        <f t="shared" si="129"/>
        <v>0.1553925587639442</v>
      </c>
      <c r="AQ355" s="147"/>
    </row>
    <row r="356" spans="1:43">
      <c r="A356" s="10" t="str">
        <f>'Input - Bookings'!A356</f>
        <v>10-24</v>
      </c>
      <c r="B356" s="11" t="str">
        <f>'Input - Bookings'!C356</f>
        <v>P</v>
      </c>
      <c r="C356" s="11" t="str">
        <f>'Input - Bookings'!H356</f>
        <v>AU</v>
      </c>
      <c r="D356" s="24" t="str">
        <f>'Input - Bookings'!E356</f>
        <v>065</v>
      </c>
      <c r="E356" s="24" t="str">
        <f>'Input - Bookings'!G356</f>
        <v>ADAPT-A-LIFT GROUP (NSW)</v>
      </c>
      <c r="F356" s="146" t="str">
        <f>'Input - Bookings'!I356</f>
        <v>H67826</v>
      </c>
      <c r="G356" s="24" t="str">
        <f>'Input - Bookings'!L356</f>
        <v>A3C5</v>
      </c>
      <c r="H356" s="24" t="str">
        <f>'Input - Bookings'!M356</f>
        <v>J2.0UTT</v>
      </c>
      <c r="I356" s="24" t="str">
        <f>'Input - Bookings'!B356</f>
        <v>AUD</v>
      </c>
      <c r="J356" s="13" t="str">
        <f>IF(I356="USD",INDEX('AP Plants'!A:A,MATCH(G356,'AP Plants'!D:D,0)),INDEX('Australia Plants'!A:A,MATCH(G356,'Australia Plants'!D:D,0)))</f>
        <v>Maximal</v>
      </c>
      <c r="K356" s="73">
        <v>1</v>
      </c>
      <c r="L356" s="97">
        <v>39686</v>
      </c>
      <c r="M356" s="97">
        <v>30868</v>
      </c>
      <c r="N356" s="99">
        <v>0.17542635737588264</v>
      </c>
      <c r="O356" s="25">
        <f t="shared" si="122"/>
        <v>0.22219422466360939</v>
      </c>
      <c r="P356" s="14">
        <f>IFERROR(IF(OR(B356&amp;C356="PAU",B356&amp;C356="AIN"),VLOOKUP(B356&amp;C356&amp;G356,#REF!,8,0),VLOOKUP(B356&amp;G356,#REF!,8,0)),0)</f>
        <v>0</v>
      </c>
      <c r="Q356" s="15">
        <f t="shared" si="123"/>
        <v>0.17542635737588264</v>
      </c>
      <c r="R356" s="16" t="str">
        <f t="shared" si="124"/>
        <v>AOP</v>
      </c>
      <c r="S356" s="17">
        <f t="shared" si="116"/>
        <v>5415.0607994787451</v>
      </c>
      <c r="T356" s="18" t="e">
        <f t="shared" si="125"/>
        <v>#DIV/0!</v>
      </c>
      <c r="U356" s="23" t="e">
        <f t="shared" si="113"/>
        <v>#DIV/0!</v>
      </c>
      <c r="Y356" s="8" t="str">
        <f t="shared" si="126"/>
        <v>PAUH67826J2.0UTT</v>
      </c>
      <c r="Z356" s="8" t="str">
        <f>IF(Y356='Input - Bookings'!Q353,"OK","Check")</f>
        <v>Check</v>
      </c>
      <c r="AA356" s="139"/>
      <c r="AB356" s="103"/>
      <c r="AC356" s="103"/>
      <c r="AD356" s="100">
        <f>15239.8856080915+200</f>
        <v>15439.885608091499</v>
      </c>
      <c r="AE356" s="110"/>
      <c r="AF356" s="8" t="str">
        <f t="array" ref="AF356">_xlfn.XLOOKUP($G356,'AP Plants'!D:D,'AP Plants'!B:B)</f>
        <v>Class 1</v>
      </c>
      <c r="AG356" s="102">
        <f>AD356*'Currency &amp; Conversion'!$L$6</f>
        <v>22993.077647569862</v>
      </c>
      <c r="AH356" s="102"/>
      <c r="AI356" s="44">
        <v>1.4999999999999999E-2</v>
      </c>
      <c r="AJ356" s="15">
        <f>_xlfn.XLOOKUP($AF356,Warranty!B:B,Warranty!E:E)</f>
        <v>5.0000000000000001E-3</v>
      </c>
      <c r="AK356" s="8">
        <f>IF($I356="AUD",VLOOKUP(RIGHT('Wk - Margins'!$G356,3),'AU Freight'!C:G,5,0),0)</f>
        <v>2000</v>
      </c>
      <c r="AL356" s="15">
        <f t="shared" si="127"/>
        <v>0</v>
      </c>
      <c r="AM356" s="61">
        <f t="shared" si="128"/>
        <v>25452.939200521254</v>
      </c>
      <c r="AN356" s="63">
        <f t="shared" si="129"/>
        <v>0.17542635737588264</v>
      </c>
      <c r="AQ356" s="147"/>
    </row>
    <row r="357" spans="1:43">
      <c r="A357" s="10" t="str">
        <f>'Input - Bookings'!A357</f>
        <v>10-24</v>
      </c>
      <c r="B357" s="11" t="str">
        <f>'Input - Bookings'!C357</f>
        <v>P</v>
      </c>
      <c r="C357" s="11" t="str">
        <f>'Input - Bookings'!H357</f>
        <v>AU</v>
      </c>
      <c r="D357" s="24" t="str">
        <f>'Input - Bookings'!E357</f>
        <v>065</v>
      </c>
      <c r="E357" s="24" t="str">
        <f>'Input - Bookings'!G357</f>
        <v>ADAPT-A-LIFT GROUP (QLD)</v>
      </c>
      <c r="F357" s="24" t="str">
        <f>'Input - Bookings'!I357</f>
        <v>H67832</v>
      </c>
      <c r="G357" s="24" t="str">
        <f>'Input - Bookings'!L357</f>
        <v>D466</v>
      </c>
      <c r="H357" s="24" t="str">
        <f>'Input - Bookings'!M357</f>
        <v>H2.5XT</v>
      </c>
      <c r="I357" s="24" t="str">
        <f>'Input - Bookings'!B357</f>
        <v>AUD</v>
      </c>
      <c r="J357" s="13" t="str">
        <f>IF(I357="USD",INDEX('AP Plants'!A:A,MATCH(G357,'AP Plants'!D:D,0)),INDEX('Australia Plants'!A:A,MATCH(G357,'Australia Plants'!D:D,0)))</f>
        <v>SN</v>
      </c>
      <c r="K357" s="73">
        <v>1</v>
      </c>
      <c r="L357" s="97">
        <v>41580</v>
      </c>
      <c r="M357" s="97">
        <v>31965.674999999999</v>
      </c>
      <c r="N357" s="99">
        <v>0.16210082343059407</v>
      </c>
      <c r="O357" s="25">
        <f t="shared" si="122"/>
        <v>0.23122474747474753</v>
      </c>
      <c r="P357" s="14">
        <f>IFERROR(IF(OR(B357&amp;C357="PAU",B357&amp;C357="AIN"),VLOOKUP(B357&amp;C357&amp;G357,#REF!,8,0),VLOOKUP(B357&amp;G357,#REF!,8,0)),0)</f>
        <v>0</v>
      </c>
      <c r="Q357" s="15">
        <f t="shared" si="123"/>
        <v>0.16210082343059407</v>
      </c>
      <c r="R357" s="16" t="str">
        <f t="shared" si="124"/>
        <v>AOP</v>
      </c>
      <c r="S357" s="17">
        <f t="shared" si="116"/>
        <v>5181.662239014755</v>
      </c>
      <c r="T357" s="18" t="e">
        <f t="shared" si="125"/>
        <v>#DIV/0!</v>
      </c>
      <c r="U357" s="23" t="e">
        <f t="shared" si="113"/>
        <v>#DIV/0!</v>
      </c>
      <c r="Y357" s="8" t="str">
        <f t="shared" si="126"/>
        <v>PAUH67832H2.5XT</v>
      </c>
      <c r="Z357" s="8" t="str">
        <f>IF(Y357='Input - Bookings'!Q354,"OK","Check")</f>
        <v>Check</v>
      </c>
      <c r="AA357" s="139"/>
      <c r="AB357" s="103"/>
      <c r="AC357" s="103"/>
      <c r="AD357" s="100">
        <v>16230.594108288993</v>
      </c>
      <c r="AE357" s="110"/>
      <c r="AF357" s="8" t="str">
        <f t="array" ref="AF357">_xlfn.XLOOKUP($G357,'AP Plants'!D:D,'AP Plants'!B:B)</f>
        <v>Class 5 NOT BT</v>
      </c>
      <c r="AG357" s="102">
        <f>AD357*'Currency &amp; Conversion'!$L$6</f>
        <v>24170.60074606397</v>
      </c>
      <c r="AH357" s="102"/>
      <c r="AI357" s="44">
        <v>1.4999999999999999E-2</v>
      </c>
      <c r="AJ357" s="15">
        <f>_xlfn.XLOOKUP($AF357,Warranty!B:B,Warranty!E:E)</f>
        <v>5.0000000000000001E-3</v>
      </c>
      <c r="AK357" s="8">
        <f>IF($I357="AUD",VLOOKUP(RIGHT('Wk - Margins'!$G357,3),'AU Freight'!C:G,5,0),0)</f>
        <v>2130</v>
      </c>
      <c r="AL357" s="15">
        <f t="shared" si="127"/>
        <v>0</v>
      </c>
      <c r="AM357" s="61">
        <f t="shared" si="128"/>
        <v>26784.012760985246</v>
      </c>
      <c r="AN357" s="63">
        <f t="shared" si="129"/>
        <v>0.16210082343059407</v>
      </c>
      <c r="AQ357" s="147"/>
    </row>
    <row r="358" spans="1:43">
      <c r="A358" s="10" t="str">
        <f>'Input - Bookings'!A358</f>
        <v>10-24</v>
      </c>
      <c r="B358" s="11" t="str">
        <f>'Input - Bookings'!C358</f>
        <v>P</v>
      </c>
      <c r="C358" s="11" t="str">
        <f>'Input - Bookings'!H358</f>
        <v>AU</v>
      </c>
      <c r="D358" s="24" t="str">
        <f>'Input - Bookings'!E358</f>
        <v>065</v>
      </c>
      <c r="E358" s="24" t="str">
        <f>'Input - Bookings'!G358</f>
        <v>ADAPT-A-LIFT GROUP (QLD)</v>
      </c>
      <c r="F358" s="24" t="str">
        <f>'Input - Bookings'!I358</f>
        <v>H67839</v>
      </c>
      <c r="G358" s="24" t="str">
        <f>'Input - Bookings'!L358</f>
        <v>D466</v>
      </c>
      <c r="H358" s="24" t="str">
        <f>'Input - Bookings'!M358</f>
        <v>H2.5XT</v>
      </c>
      <c r="I358" s="24" t="str">
        <f>'Input - Bookings'!B358</f>
        <v>AUD</v>
      </c>
      <c r="J358" s="13" t="str">
        <f>IF(I358="USD",INDEX('AP Plants'!A:A,MATCH(G358,'AP Plants'!D:D,0)),INDEX('Australia Plants'!A:A,MATCH(G358,'Australia Plants'!D:D,0)))</f>
        <v>SN</v>
      </c>
      <c r="K358" s="73">
        <v>1</v>
      </c>
      <c r="L358" s="97">
        <v>41580</v>
      </c>
      <c r="M358" s="97">
        <v>31965.674999999999</v>
      </c>
      <c r="N358" s="99">
        <v>0.16210082343059407</v>
      </c>
      <c r="O358" s="25">
        <f t="shared" si="122"/>
        <v>0.23122474747474753</v>
      </c>
      <c r="P358" s="14">
        <f>IFERROR(IF(OR(B358&amp;C358="PAU",B358&amp;C358="AIN"),VLOOKUP(B358&amp;C358&amp;G358,#REF!,8,0),VLOOKUP(B358&amp;G358,#REF!,8,0)),0)</f>
        <v>0</v>
      </c>
      <c r="Q358" s="15">
        <f t="shared" si="123"/>
        <v>0.16210082343059407</v>
      </c>
      <c r="R358" s="16" t="str">
        <f t="shared" si="124"/>
        <v>AOP</v>
      </c>
      <c r="S358" s="17">
        <f t="shared" si="116"/>
        <v>5181.662239014755</v>
      </c>
      <c r="T358" s="18" t="e">
        <f t="shared" si="125"/>
        <v>#DIV/0!</v>
      </c>
      <c r="U358" s="23" t="e">
        <f t="shared" si="113"/>
        <v>#DIV/0!</v>
      </c>
      <c r="Y358" s="8" t="str">
        <f t="shared" si="126"/>
        <v>PAUH67839H2.5XT</v>
      </c>
      <c r="Z358" s="8" t="str">
        <f>IF(Y358='Input - Bookings'!Q355,"OK","Check")</f>
        <v>Check</v>
      </c>
      <c r="AA358" s="139"/>
      <c r="AB358" s="103"/>
      <c r="AC358" s="103"/>
      <c r="AD358" s="100">
        <v>16230.594108288993</v>
      </c>
      <c r="AE358" s="100"/>
      <c r="AF358" s="8" t="str">
        <f t="array" ref="AF358">_xlfn.XLOOKUP($G358,'AP Plants'!D:D,'AP Plants'!B:B)</f>
        <v>Class 5 NOT BT</v>
      </c>
      <c r="AG358" s="102">
        <f>AD358*'Currency &amp; Conversion'!$L$6</f>
        <v>24170.60074606397</v>
      </c>
      <c r="AH358" s="102"/>
      <c r="AI358" s="44">
        <v>1.4999999999999999E-2</v>
      </c>
      <c r="AJ358" s="15">
        <f>_xlfn.XLOOKUP($AF358,Warranty!B:B,Warranty!E:E)</f>
        <v>5.0000000000000001E-3</v>
      </c>
      <c r="AK358" s="8">
        <f>IF($I358="AUD",VLOOKUP(RIGHT('Wk - Margins'!$G358,3),'AU Freight'!C:G,5,0),0)</f>
        <v>2130</v>
      </c>
      <c r="AL358" s="15">
        <f t="shared" si="127"/>
        <v>0</v>
      </c>
      <c r="AM358" s="61">
        <f t="shared" si="128"/>
        <v>26784.012760985246</v>
      </c>
      <c r="AN358" s="63">
        <f t="shared" si="129"/>
        <v>0.16210082343059407</v>
      </c>
      <c r="AQ358" s="147"/>
    </row>
    <row r="359" spans="1:43">
      <c r="A359" s="10" t="str">
        <f>'Input - Bookings'!A359</f>
        <v>10-24</v>
      </c>
      <c r="B359" s="11" t="str">
        <f>'Input - Bookings'!C359</f>
        <v>P</v>
      </c>
      <c r="C359" s="11" t="str">
        <f>'Input - Bookings'!H359</f>
        <v>AU</v>
      </c>
      <c r="D359" s="24" t="str">
        <f>'Input - Bookings'!E359</f>
        <v>065</v>
      </c>
      <c r="E359" s="24" t="str">
        <f>'Input - Bookings'!G359</f>
        <v>ADAPT-A-LIFT GROUP (QLD)</v>
      </c>
      <c r="F359" s="24" t="str">
        <f>'Input - Bookings'!I359</f>
        <v>H67833</v>
      </c>
      <c r="G359" s="24" t="str">
        <f>'Input - Bookings'!L359</f>
        <v>A3C1</v>
      </c>
      <c r="H359" s="24" t="str">
        <f>'Input - Bookings'!M359</f>
        <v>H3.5UT</v>
      </c>
      <c r="I359" s="24" t="str">
        <f>'Input - Bookings'!B359</f>
        <v>AUD</v>
      </c>
      <c r="J359" s="13" t="str">
        <f>IF(I359="USD",INDEX('AP Plants'!A:A,MATCH(G359,'AP Plants'!D:D,0)),INDEX('Australia Plants'!A:A,MATCH(G359,'Australia Plants'!D:D,0)))</f>
        <v>Maximal</v>
      </c>
      <c r="K359" s="73">
        <v>1</v>
      </c>
      <c r="L359" s="97">
        <v>35180</v>
      </c>
      <c r="M359" s="97">
        <v>25521.3</v>
      </c>
      <c r="N359" s="99">
        <v>0.24613561451980082</v>
      </c>
      <c r="O359" s="25">
        <f t="shared" si="122"/>
        <v>0.27455088118249005</v>
      </c>
      <c r="P359" s="14">
        <f>IFERROR(IF(OR(B359&amp;C359="PAU",B359&amp;C359="AIN"),VLOOKUP(B359&amp;C359&amp;G359,#REF!,8,0),VLOOKUP(B359&amp;G359,#REF!,8,0)),0)</f>
        <v>0</v>
      </c>
      <c r="Q359" s="15">
        <f t="shared" si="123"/>
        <v>0.24613561451980082</v>
      </c>
      <c r="R359" s="16" t="str">
        <f t="shared" si="124"/>
        <v>AOP</v>
      </c>
      <c r="S359" s="17">
        <f t="shared" si="116"/>
        <v>6281.7008588441922</v>
      </c>
      <c r="T359" s="18" t="e">
        <f t="shared" si="125"/>
        <v>#DIV/0!</v>
      </c>
      <c r="U359" s="23" t="e">
        <f t="shared" si="113"/>
        <v>#DIV/0!</v>
      </c>
      <c r="Y359" s="8" t="str">
        <f t="shared" si="126"/>
        <v>PAUH67833H3.5UT</v>
      </c>
      <c r="Z359" s="8" t="str">
        <f>IF(Y359='Input - Bookings'!Q356,"OK","Check")</f>
        <v>Check</v>
      </c>
      <c r="AA359" s="139"/>
      <c r="AB359" s="103"/>
      <c r="AC359" s="103"/>
      <c r="AD359" s="100">
        <v>11349.427736668593</v>
      </c>
      <c r="AE359" s="100"/>
      <c r="AF359" s="8" t="str">
        <f t="array" ref="AF359">_xlfn.XLOOKUP($G359,'AP Plants'!D:D,'AP Plants'!B:B)</f>
        <v>Class 5 NOT BT</v>
      </c>
      <c r="AG359" s="102">
        <f>AD359*'Currency &amp; Conversion'!$L$6</f>
        <v>16901.56778544687</v>
      </c>
      <c r="AH359" s="102"/>
      <c r="AI359" s="44">
        <v>1.4999999999999999E-2</v>
      </c>
      <c r="AJ359" s="15">
        <f>_xlfn.XLOOKUP($AF359,Warranty!B:B,Warranty!E:E)</f>
        <v>5.0000000000000001E-3</v>
      </c>
      <c r="AK359" s="8">
        <f>IF($I359="AUD",VLOOKUP(RIGHT('Wk - Margins'!$G359,3),'AU Freight'!C:G,5,0),0)</f>
        <v>2000</v>
      </c>
      <c r="AL359" s="15">
        <f t="shared" si="127"/>
        <v>0</v>
      </c>
      <c r="AM359" s="61">
        <f t="shared" si="128"/>
        <v>19239.599141155806</v>
      </c>
      <c r="AN359" s="63">
        <f t="shared" si="129"/>
        <v>0.24613561451980082</v>
      </c>
      <c r="AQ359" s="147"/>
    </row>
    <row r="360" spans="1:43">
      <c r="A360" s="10" t="str">
        <f>'Input - Bookings'!A360</f>
        <v>10-24</v>
      </c>
      <c r="B360" s="11" t="str">
        <f>'Input - Bookings'!C360</f>
        <v>P</v>
      </c>
      <c r="C360" s="11" t="str">
        <f>'Input - Bookings'!H360</f>
        <v>AU</v>
      </c>
      <c r="D360" s="24" t="str">
        <f>'Input - Bookings'!E360</f>
        <v>065</v>
      </c>
      <c r="E360" s="24" t="str">
        <f>'Input - Bookings'!G360</f>
        <v>ADAPT-A-LIFT GROUP (QLD)</v>
      </c>
      <c r="F360" s="24" t="str">
        <f>'Input - Bookings'!I360</f>
        <v>H67840</v>
      </c>
      <c r="G360" s="24" t="str">
        <f>'Input - Bookings'!L360</f>
        <v>A3C1</v>
      </c>
      <c r="H360" s="24" t="str">
        <f>'Input - Bookings'!M360</f>
        <v>H3.5UT</v>
      </c>
      <c r="I360" s="24" t="str">
        <f>'Input - Bookings'!B360</f>
        <v>AUD</v>
      </c>
      <c r="J360" s="13" t="str">
        <f>IF(I360="USD",INDEX('AP Plants'!A:A,MATCH(G360,'AP Plants'!D:D,0)),INDEX('Australia Plants'!A:A,MATCH(G360,'Australia Plants'!D:D,0)))</f>
        <v>Maximal</v>
      </c>
      <c r="K360" s="73">
        <v>1</v>
      </c>
      <c r="L360" s="97">
        <v>35180</v>
      </c>
      <c r="M360" s="97">
        <v>25521.3</v>
      </c>
      <c r="N360" s="99">
        <v>0.24613561451980082</v>
      </c>
      <c r="O360" s="25">
        <f t="shared" si="122"/>
        <v>0.27455088118249005</v>
      </c>
      <c r="P360" s="14">
        <f>IFERROR(IF(OR(B360&amp;C360="PAU",B360&amp;C360="AIN"),VLOOKUP(B360&amp;C360&amp;G360,#REF!,8,0),VLOOKUP(B360&amp;G360,#REF!,8,0)),0)</f>
        <v>0</v>
      </c>
      <c r="Q360" s="15">
        <f t="shared" si="123"/>
        <v>0.24613561451980082</v>
      </c>
      <c r="R360" s="16" t="str">
        <f t="shared" si="124"/>
        <v>AOP</v>
      </c>
      <c r="S360" s="17">
        <f t="shared" si="116"/>
        <v>6281.7008588441922</v>
      </c>
      <c r="T360" s="18" t="e">
        <f t="shared" si="125"/>
        <v>#DIV/0!</v>
      </c>
      <c r="U360" s="23" t="e">
        <f t="shared" si="113"/>
        <v>#DIV/0!</v>
      </c>
      <c r="Y360" s="8" t="str">
        <f t="shared" si="126"/>
        <v>PAUH67840H3.5UT</v>
      </c>
      <c r="Z360" s="8" t="str">
        <f>IF(Y360='Input - Bookings'!Q539,"OK","Check")</f>
        <v>Check</v>
      </c>
      <c r="AA360" s="139"/>
      <c r="AB360" s="103"/>
      <c r="AC360" s="103"/>
      <c r="AD360" s="100">
        <v>11349.427736668593</v>
      </c>
      <c r="AE360" s="100"/>
      <c r="AF360" s="8" t="str">
        <f t="array" ref="AF360">_xlfn.XLOOKUP($G360,'AP Plants'!D:D,'AP Plants'!B:B)</f>
        <v>Class 5 NOT BT</v>
      </c>
      <c r="AG360" s="102">
        <f>AD360*'Currency &amp; Conversion'!$L$6</f>
        <v>16901.56778544687</v>
      </c>
      <c r="AH360" s="102"/>
      <c r="AI360" s="44">
        <v>1.4999999999999999E-2</v>
      </c>
      <c r="AJ360" s="15">
        <f>_xlfn.XLOOKUP($AF360,Warranty!B:B,Warranty!E:E)</f>
        <v>5.0000000000000001E-3</v>
      </c>
      <c r="AK360" s="8">
        <f>IF($I360="AUD",VLOOKUP(RIGHT('Wk - Margins'!$G360,3),'AU Freight'!C:G,5,0),0)</f>
        <v>2000</v>
      </c>
      <c r="AL360" s="15">
        <f t="shared" si="127"/>
        <v>0</v>
      </c>
      <c r="AM360" s="61">
        <f t="shared" si="128"/>
        <v>19239.599141155806</v>
      </c>
      <c r="AN360" s="63">
        <f t="shared" si="129"/>
        <v>0.24613561451980082</v>
      </c>
      <c r="AQ360" s="147"/>
    </row>
    <row r="361" spans="1:43">
      <c r="A361" s="10" t="str">
        <f>'Input - Bookings'!A361</f>
        <v>10-24</v>
      </c>
      <c r="B361" s="11" t="str">
        <f>'Input - Bookings'!C361</f>
        <v>P</v>
      </c>
      <c r="C361" s="11" t="str">
        <f>'Input - Bookings'!H361</f>
        <v>AU</v>
      </c>
      <c r="D361" s="24" t="str">
        <f>'Input - Bookings'!E361</f>
        <v>065</v>
      </c>
      <c r="E361" s="24" t="str">
        <f>'Input - Bookings'!G361</f>
        <v>ADAPT-A-LIFT GROUP (QLD)</v>
      </c>
      <c r="F361" s="24" t="str">
        <f>'Input - Bookings'!I361</f>
        <v>H67834</v>
      </c>
      <c r="G361" s="24" t="str">
        <f>'Input - Bookings'!L361</f>
        <v>D466</v>
      </c>
      <c r="H361" s="24" t="str">
        <f>'Input - Bookings'!M361</f>
        <v>H3.0XT</v>
      </c>
      <c r="I361" s="24" t="str">
        <f>'Input - Bookings'!B361</f>
        <v>AUD</v>
      </c>
      <c r="J361" s="13" t="str">
        <f>IF(I361="USD",INDEX('AP Plants'!A:A,MATCH(G361,'AP Plants'!D:D,0)),INDEX('Australia Plants'!A:A,MATCH(G361,'Australia Plants'!D:D,0)))</f>
        <v>SN</v>
      </c>
      <c r="K361" s="73">
        <v>1</v>
      </c>
      <c r="L361" s="97">
        <v>39930</v>
      </c>
      <c r="M361" s="97">
        <v>32056.574999999997</v>
      </c>
      <c r="N361" s="99">
        <v>0.11357401555937852</v>
      </c>
      <c r="O361" s="25">
        <f t="shared" si="122"/>
        <v>0.1971806912096169</v>
      </c>
      <c r="P361" s="14">
        <f>IFERROR(IF(OR(B361&amp;C361="PAU",B361&amp;C361="AIN"),VLOOKUP(B361&amp;C361&amp;G361,#REF!,8,0),VLOOKUP(B361&amp;G361,#REF!,8,0)),0)</f>
        <v>0</v>
      </c>
      <c r="Q361" s="15">
        <f t="shared" si="123"/>
        <v>0.11357401555937852</v>
      </c>
      <c r="R361" s="16" t="str">
        <f t="shared" si="124"/>
        <v>AOP</v>
      </c>
      <c r="S361" s="17">
        <f t="shared" si="116"/>
        <v>3640.7939478303842</v>
      </c>
      <c r="T361" s="18" t="e">
        <f t="shared" si="125"/>
        <v>#DIV/0!</v>
      </c>
      <c r="U361" s="23" t="e">
        <f t="shared" si="113"/>
        <v>#DIV/0!</v>
      </c>
      <c r="Y361" s="8" t="str">
        <f t="shared" si="126"/>
        <v>PAUH67834H3.0XT</v>
      </c>
      <c r="Z361" s="8" t="str">
        <f>IF(Y361='Input - Bookings'!Q540,"OK","Check")</f>
        <v>Check</v>
      </c>
      <c r="AA361" s="139"/>
      <c r="AB361" s="103"/>
      <c r="AC361" s="103"/>
      <c r="AD361" s="100">
        <v>17304.843930001643</v>
      </c>
      <c r="AE361" s="98"/>
      <c r="AF361" s="8" t="str">
        <f t="array" ref="AF361">_xlfn.XLOOKUP($G361,'AP Plants'!D:D,'AP Plants'!B:B)</f>
        <v>Class 5 NOT BT</v>
      </c>
      <c r="AG361" s="102">
        <f>AD361*'Currency &amp; Conversion'!$L$6</f>
        <v>25770.373580558447</v>
      </c>
      <c r="AH361" s="102"/>
      <c r="AI361" s="44">
        <v>1.4999999999999999E-2</v>
      </c>
      <c r="AJ361" s="15">
        <f>_xlfn.XLOOKUP($AF361,Warranty!B:B,Warranty!E:E)</f>
        <v>5.0000000000000001E-3</v>
      </c>
      <c r="AK361" s="8">
        <f>IF($I361="AUD",VLOOKUP(RIGHT('Wk - Margins'!$G361,3),'AU Freight'!C:G,5,0),0)</f>
        <v>2130</v>
      </c>
      <c r="AL361" s="15">
        <f t="shared" si="127"/>
        <v>0</v>
      </c>
      <c r="AM361" s="61">
        <f t="shared" si="128"/>
        <v>28415.781052169612</v>
      </c>
      <c r="AN361" s="63">
        <f t="shared" si="129"/>
        <v>0.11357401555937852</v>
      </c>
      <c r="AQ361" s="147"/>
    </row>
    <row r="362" spans="1:43">
      <c r="A362" s="10" t="str">
        <f>'Input - Bookings'!A362</f>
        <v>10-24</v>
      </c>
      <c r="B362" s="11" t="str">
        <f>'Input - Bookings'!C362</f>
        <v>P</v>
      </c>
      <c r="C362" s="11" t="str">
        <f>'Input - Bookings'!H362</f>
        <v>AU</v>
      </c>
      <c r="D362" s="24" t="str">
        <f>'Input - Bookings'!E362</f>
        <v>065</v>
      </c>
      <c r="E362" s="24" t="str">
        <f>'Input - Bookings'!G362</f>
        <v>ADAPT-A-LIFT GROUP (QLD)</v>
      </c>
      <c r="F362" s="24" t="str">
        <f>'Input - Bookings'!I362</f>
        <v>H67835</v>
      </c>
      <c r="G362" s="24" t="str">
        <f>'Input - Bookings'!L362</f>
        <v>D466</v>
      </c>
      <c r="H362" s="24" t="str">
        <f>'Input - Bookings'!M362</f>
        <v>H3.5XT</v>
      </c>
      <c r="I362" s="24" t="str">
        <f>'Input - Bookings'!B362</f>
        <v>AUD</v>
      </c>
      <c r="J362" s="13" t="str">
        <f>IF(I362="USD",INDEX('AP Plants'!A:A,MATCH(G362,'AP Plants'!D:D,0)),INDEX('Australia Plants'!A:A,MATCH(G362,'Australia Plants'!D:D,0)))</f>
        <v>SN</v>
      </c>
      <c r="K362" s="73">
        <v>1</v>
      </c>
      <c r="L362" s="97">
        <v>50115</v>
      </c>
      <c r="M362" s="97">
        <v>37070.675000000003</v>
      </c>
      <c r="N362" s="99">
        <v>0.12957344270084459</v>
      </c>
      <c r="O362" s="25">
        <f t="shared" si="122"/>
        <v>0.26028783797266286</v>
      </c>
      <c r="P362" s="14">
        <f>IFERROR(IF(OR(B362&amp;C362="PAU",B362&amp;C362="AIN"),VLOOKUP(B362&amp;C362&amp;G362,#REF!,8,0),VLOOKUP(B362&amp;G362,#REF!,8,0)),0)</f>
        <v>0</v>
      </c>
      <c r="Q362" s="15">
        <f t="shared" si="123"/>
        <v>0.12957344270084459</v>
      </c>
      <c r="R362" s="16" t="str">
        <f t="shared" si="124"/>
        <v>AOP</v>
      </c>
      <c r="S362" s="17">
        <f t="shared" si="116"/>
        <v>4803.3749829941326</v>
      </c>
      <c r="T362" s="18" t="e">
        <f t="shared" si="125"/>
        <v>#DIV/0!</v>
      </c>
      <c r="U362" s="23" t="e">
        <f t="shared" si="113"/>
        <v>#DIV/0!</v>
      </c>
      <c r="Y362" s="8" t="str">
        <f t="shared" si="126"/>
        <v>PAUH67835H3.5XT</v>
      </c>
      <c r="Z362" s="8" t="str">
        <f>IF(Y362='Input - Bookings'!Q541,"OK","Check")</f>
        <v>Check</v>
      </c>
      <c r="AA362" s="139"/>
      <c r="AB362" s="103"/>
      <c r="AC362" s="103"/>
      <c r="AD362" s="100">
        <v>19840.43282681442</v>
      </c>
      <c r="AE362" s="100"/>
      <c r="AF362" s="8" t="str">
        <f t="array" ref="AF362">_xlfn.XLOOKUP($G362,'AP Plants'!D:D,'AP Plants'!B:B)</f>
        <v>Class 5 NOT BT</v>
      </c>
      <c r="AG362" s="102">
        <f>AD362*'Currency &amp; Conversion'!$L$6</f>
        <v>29546.372565692036</v>
      </c>
      <c r="AH362" s="102"/>
      <c r="AI362" s="44">
        <v>1.4999999999999999E-2</v>
      </c>
      <c r="AJ362" s="15">
        <f>_xlfn.XLOOKUP($AF362,Warranty!B:B,Warranty!E:E)</f>
        <v>5.0000000000000001E-3</v>
      </c>
      <c r="AK362" s="8">
        <f>IF($I362="AUD",VLOOKUP(RIGHT('Wk - Margins'!$G362,3),'AU Freight'!C:G,5,0),0)</f>
        <v>2130</v>
      </c>
      <c r="AL362" s="15">
        <f t="shared" si="127"/>
        <v>0</v>
      </c>
      <c r="AM362" s="61">
        <f t="shared" si="128"/>
        <v>32267.300017005869</v>
      </c>
      <c r="AN362" s="63">
        <f t="shared" si="129"/>
        <v>0.12957344270084459</v>
      </c>
      <c r="AQ362" s="147"/>
    </row>
    <row r="363" spans="1:43">
      <c r="A363" s="10" t="str">
        <f>'Input - Bookings'!A363</f>
        <v>10-24</v>
      </c>
      <c r="B363" s="11" t="str">
        <f>'Input - Bookings'!C363</f>
        <v>P</v>
      </c>
      <c r="C363" s="11" t="str">
        <f>'Input - Bookings'!H363</f>
        <v>AU</v>
      </c>
      <c r="D363" s="24" t="str">
        <f>'Input - Bookings'!E363</f>
        <v>065</v>
      </c>
      <c r="E363" s="24" t="str">
        <f>'Input - Bookings'!G363</f>
        <v>ADAPT-A-LIFT GROUP (QLD)</v>
      </c>
      <c r="F363" s="146" t="str">
        <f>'Input - Bookings'!I363</f>
        <v>H67836</v>
      </c>
      <c r="G363" s="24" t="str">
        <f>'Input - Bookings'!L363</f>
        <v>A3C4</v>
      </c>
      <c r="H363" s="24" t="str">
        <f>'Input - Bookings'!M363</f>
        <v>J2.5UT</v>
      </c>
      <c r="I363" s="24" t="str">
        <f>'Input - Bookings'!B363</f>
        <v>AUD</v>
      </c>
      <c r="J363" s="13" t="str">
        <f>IF(I363="USD",INDEX('AP Plants'!A:A,MATCH(G363,'AP Plants'!D:D,0)),INDEX('Australia Plants'!A:A,MATCH(G363,'Australia Plants'!D:D,0)))</f>
        <v>Maximal</v>
      </c>
      <c r="K363" s="73">
        <v>1</v>
      </c>
      <c r="L363" s="97">
        <v>38485</v>
      </c>
      <c r="M363" s="97">
        <v>29885.95</v>
      </c>
      <c r="N363" s="99">
        <v>0.15791713966656906</v>
      </c>
      <c r="O363" s="25">
        <f t="shared" si="122"/>
        <v>0.22343900220865265</v>
      </c>
      <c r="P363" s="14">
        <f>IFERROR(IF(OR(B363&amp;C363="PAU",B363&amp;C363="AIN"),VLOOKUP(B363&amp;C363&amp;G363,#REF!,8,0),VLOOKUP(B363&amp;G363,#REF!,8,0)),0)</f>
        <v>0</v>
      </c>
      <c r="Q363" s="15">
        <f t="shared" si="123"/>
        <v>0.15791713966656906</v>
      </c>
      <c r="R363" s="16" t="str">
        <f t="shared" si="124"/>
        <v>AOP</v>
      </c>
      <c r="S363" s="17">
        <f t="shared" si="116"/>
        <v>4719.5037402180997</v>
      </c>
      <c r="T363" s="18" t="e">
        <f t="shared" si="125"/>
        <v>#DIV/0!</v>
      </c>
      <c r="U363" s="23" t="e">
        <f t="shared" si="113"/>
        <v>#DIV/0!</v>
      </c>
      <c r="Y363" s="8" t="str">
        <f t="shared" si="126"/>
        <v>PAUH67836J2.5UT</v>
      </c>
      <c r="Z363" s="8" t="str">
        <f>IF(Y363='Input - Bookings'!Q596,"OK","Check")</f>
        <v>Check</v>
      </c>
      <c r="AA363" s="139"/>
      <c r="AB363" s="103"/>
      <c r="AC363" s="103"/>
      <c r="AD363" s="100">
        <f>15051.2773404999+200</f>
        <v>15251.277340499901</v>
      </c>
      <c r="AE363" s="100"/>
      <c r="AF363" s="8" t="str">
        <f t="array" ref="AF363">_xlfn.XLOOKUP($G363,'AP Plants'!D:D,'AP Plants'!B:B)</f>
        <v>Class 1</v>
      </c>
      <c r="AG363" s="102">
        <f>AD363*'Currency &amp; Conversion'!$L$6</f>
        <v>22712.202215472455</v>
      </c>
      <c r="AH363" s="102"/>
      <c r="AI363" s="44">
        <v>1.4999999999999999E-2</v>
      </c>
      <c r="AJ363" s="15">
        <f>_xlfn.XLOOKUP($AF363,Warranty!B:B,Warranty!E:E)</f>
        <v>5.0000000000000001E-3</v>
      </c>
      <c r="AK363" s="8">
        <f>IF($I363="AUD",VLOOKUP(RIGHT('Wk - Margins'!$G363,3),'AU Freight'!C:G,5,0),0)</f>
        <v>2000</v>
      </c>
      <c r="AL363" s="15">
        <f t="shared" si="127"/>
        <v>0</v>
      </c>
      <c r="AM363" s="61">
        <f t="shared" si="128"/>
        <v>25166.4462597819</v>
      </c>
      <c r="AN363" s="63">
        <f t="shared" si="129"/>
        <v>0.15791713966656906</v>
      </c>
      <c r="AQ363" s="147"/>
    </row>
    <row r="364" spans="1:43">
      <c r="A364" s="10" t="str">
        <f>'Input - Bookings'!A364</f>
        <v>10-24</v>
      </c>
      <c r="B364" s="11" t="str">
        <f>'Input - Bookings'!C364</f>
        <v>P</v>
      </c>
      <c r="C364" s="11" t="str">
        <f>'Input - Bookings'!H364</f>
        <v>AU</v>
      </c>
      <c r="D364" s="24" t="str">
        <f>'Input - Bookings'!E364</f>
        <v>065</v>
      </c>
      <c r="E364" s="24" t="str">
        <f>'Input - Bookings'!G364</f>
        <v>ADAPT-A-LIFT GROUP (QLD)</v>
      </c>
      <c r="F364" s="146" t="str">
        <f>'Input - Bookings'!I364</f>
        <v>H67841</v>
      </c>
      <c r="G364" s="24" t="str">
        <f>'Input - Bookings'!L364</f>
        <v>A3C4</v>
      </c>
      <c r="H364" s="24" t="str">
        <f>'Input - Bookings'!M364</f>
        <v>J2.5UT</v>
      </c>
      <c r="I364" s="24" t="str">
        <f>'Input - Bookings'!B364</f>
        <v>AUD</v>
      </c>
      <c r="J364" s="13" t="str">
        <f>IF(I364="USD",INDEX('AP Plants'!A:A,MATCH(G364,'AP Plants'!D:D,0)),INDEX('Australia Plants'!A:A,MATCH(G364,'Australia Plants'!D:D,0)))</f>
        <v>Maximal</v>
      </c>
      <c r="K364" s="73">
        <v>1</v>
      </c>
      <c r="L364" s="97">
        <v>38485</v>
      </c>
      <c r="M364" s="97">
        <v>29885.95</v>
      </c>
      <c r="N364" s="99">
        <v>0.15791713966656906</v>
      </c>
      <c r="O364" s="25">
        <f t="shared" si="122"/>
        <v>0.22343900220865265</v>
      </c>
      <c r="P364" s="14">
        <f>IFERROR(IF(OR(B364&amp;C364="PAU",B364&amp;C364="AIN"),VLOOKUP(B364&amp;C364&amp;G364,#REF!,8,0),VLOOKUP(B364&amp;G364,#REF!,8,0)),0)</f>
        <v>0</v>
      </c>
      <c r="Q364" s="15">
        <f t="shared" si="123"/>
        <v>0.15791713966656906</v>
      </c>
      <c r="R364" s="16" t="str">
        <f t="shared" si="124"/>
        <v>AOP</v>
      </c>
      <c r="S364" s="17">
        <f t="shared" si="116"/>
        <v>4719.5037402180997</v>
      </c>
      <c r="T364" s="18" t="e">
        <f t="shared" si="125"/>
        <v>#DIV/0!</v>
      </c>
      <c r="U364" s="23" t="e">
        <f t="shared" si="113"/>
        <v>#DIV/0!</v>
      </c>
      <c r="Y364" s="8" t="str">
        <f t="shared" si="126"/>
        <v>PAUH67841J2.5UT</v>
      </c>
      <c r="Z364" s="8" t="str">
        <f>IF(Y364='Input - Bookings'!Q597,"OK","Check")</f>
        <v>Check</v>
      </c>
      <c r="AA364" s="139"/>
      <c r="AB364" s="103"/>
      <c r="AC364" s="103"/>
      <c r="AD364" s="100">
        <f>15051.2773404999+200</f>
        <v>15251.277340499901</v>
      </c>
      <c r="AE364" s="100"/>
      <c r="AF364" s="8" t="str">
        <f t="array" ref="AF364">_xlfn.XLOOKUP($G364,'AP Plants'!D:D,'AP Plants'!B:B)</f>
        <v>Class 1</v>
      </c>
      <c r="AG364" s="102">
        <f>AD364*'Currency &amp; Conversion'!$L$6</f>
        <v>22712.202215472455</v>
      </c>
      <c r="AH364" s="102"/>
      <c r="AI364" s="44">
        <v>1.4999999999999999E-2</v>
      </c>
      <c r="AJ364" s="15">
        <f>_xlfn.XLOOKUP($AF364,Warranty!B:B,Warranty!E:E)</f>
        <v>5.0000000000000001E-3</v>
      </c>
      <c r="AK364" s="8">
        <f>IF($I364="AUD",VLOOKUP(RIGHT('Wk - Margins'!$G364,3),'AU Freight'!C:G,5,0),0)</f>
        <v>2000</v>
      </c>
      <c r="AL364" s="15">
        <f t="shared" si="127"/>
        <v>0</v>
      </c>
      <c r="AM364" s="61">
        <f t="shared" si="128"/>
        <v>25166.4462597819</v>
      </c>
      <c r="AN364" s="63">
        <f t="shared" si="129"/>
        <v>0.15791713966656906</v>
      </c>
      <c r="AQ364" s="147"/>
    </row>
    <row r="365" spans="1:43">
      <c r="A365" s="10" t="str">
        <f>'Input - Bookings'!A365</f>
        <v>10-24</v>
      </c>
      <c r="B365" s="11" t="str">
        <f>'Input - Bookings'!C365</f>
        <v>P</v>
      </c>
      <c r="C365" s="11" t="str">
        <f>'Input - Bookings'!H365</f>
        <v>AU</v>
      </c>
      <c r="D365" s="24" t="str">
        <f>'Input - Bookings'!E365</f>
        <v>065</v>
      </c>
      <c r="E365" s="24" t="str">
        <f>'Input - Bookings'!G365</f>
        <v>ADAPT-A-LIFT GROUP (QLD)</v>
      </c>
      <c r="F365" s="146" t="str">
        <f>'Input - Bookings'!I365</f>
        <v>H67837</v>
      </c>
      <c r="G365" s="24" t="str">
        <f>'Input - Bookings'!L365</f>
        <v>A3C4</v>
      </c>
      <c r="H365" s="24" t="str">
        <f>'Input - Bookings'!M365</f>
        <v>J1.8UT</v>
      </c>
      <c r="I365" s="24" t="str">
        <f>'Input - Bookings'!B365</f>
        <v>AUD</v>
      </c>
      <c r="J365" s="13" t="str">
        <f>IF(I365="USD",INDEX('AP Plants'!A:A,MATCH(G365,'AP Plants'!D:D,0)),INDEX('Australia Plants'!A:A,MATCH(G365,'Australia Plants'!D:D,0)))</f>
        <v>Maximal</v>
      </c>
      <c r="K365" s="73">
        <v>1</v>
      </c>
      <c r="L365" s="97">
        <v>33773</v>
      </c>
      <c r="M365" s="97">
        <v>26949.3</v>
      </c>
      <c r="N365" s="99">
        <v>0.1553925587639442</v>
      </c>
      <c r="O365" s="25">
        <f t="shared" ref="O365:O404" si="130">1-M365/L365</f>
        <v>0.20204601308737746</v>
      </c>
      <c r="P365" s="14">
        <f>IFERROR(IF(OR(B365&amp;C365="PAU",B365&amp;C365="AIN"),VLOOKUP(B365&amp;C365&amp;G365,#REF!,8,0),VLOOKUP(B365&amp;G365,#REF!,8,0)),0)</f>
        <v>0</v>
      </c>
      <c r="Q365" s="15">
        <f t="shared" si="123"/>
        <v>0.1553925587639442</v>
      </c>
      <c r="R365" s="16" t="str">
        <f t="shared" si="124"/>
        <v>AOP</v>
      </c>
      <c r="S365" s="17">
        <f t="shared" si="116"/>
        <v>4187.7206838971615</v>
      </c>
      <c r="T365" s="18" t="e">
        <f t="shared" si="125"/>
        <v>#DIV/0!</v>
      </c>
      <c r="U365" s="23" t="e">
        <f t="shared" si="113"/>
        <v>#DIV/0!</v>
      </c>
      <c r="Y365" s="8" t="str">
        <f t="shared" si="126"/>
        <v>PAUH67837J1.8UT</v>
      </c>
      <c r="Z365" s="8" t="str">
        <f>IF(Y365='Input - Bookings'!Q598,"OK","Check")</f>
        <v>Check</v>
      </c>
      <c r="AA365" s="139"/>
      <c r="AB365" s="103"/>
      <c r="AC365" s="103"/>
      <c r="AD365" s="100">
        <f>13468.0697861879+200</f>
        <v>13668.0697861879</v>
      </c>
      <c r="AE365" s="100"/>
      <c r="AF365" s="8" t="str">
        <f t="array" ref="AF365">_xlfn.XLOOKUP($G365,'AP Plants'!D:D,'AP Plants'!B:B)</f>
        <v>Class 1</v>
      </c>
      <c r="AG365" s="102">
        <f>AD365*'Currency &amp; Conversion'!$L$6</f>
        <v>20354.489525591023</v>
      </c>
      <c r="AH365" s="102"/>
      <c r="AI365" s="44">
        <v>1.4999999999999999E-2</v>
      </c>
      <c r="AJ365" s="15">
        <f>_xlfn.XLOOKUP($AF365,Warranty!B:B,Warranty!E:E)</f>
        <v>5.0000000000000001E-3</v>
      </c>
      <c r="AK365" s="8">
        <f>IF($I365="AUD",VLOOKUP(RIGHT('Wk - Margins'!$G365,3),'AU Freight'!C:G,5,0),0)</f>
        <v>2000</v>
      </c>
      <c r="AL365" s="15">
        <f t="shared" si="127"/>
        <v>0</v>
      </c>
      <c r="AM365" s="61">
        <f t="shared" si="128"/>
        <v>22761.579316102838</v>
      </c>
      <c r="AN365" s="63">
        <f t="shared" si="129"/>
        <v>0.1553925587639442</v>
      </c>
      <c r="AQ365" s="147"/>
    </row>
    <row r="366" spans="1:43">
      <c r="A366" s="10" t="str">
        <f>'Input - Bookings'!A366</f>
        <v>10-24</v>
      </c>
      <c r="B366" s="11" t="str">
        <f>'Input - Bookings'!C366</f>
        <v>P</v>
      </c>
      <c r="C366" s="11" t="str">
        <f>'Input - Bookings'!H366</f>
        <v>AU</v>
      </c>
      <c r="D366" s="24" t="str">
        <f>'Input - Bookings'!E366</f>
        <v>065</v>
      </c>
      <c r="E366" s="24" t="str">
        <f>'Input - Bookings'!G366</f>
        <v>ADAPT-A-LIFT GROUP (QLD)</v>
      </c>
      <c r="F366" s="146" t="str">
        <f>'Input - Bookings'!I366</f>
        <v>H67838</v>
      </c>
      <c r="G366" s="24" t="str">
        <f>'Input - Bookings'!L366</f>
        <v>A3C5</v>
      </c>
      <c r="H366" s="24" t="str">
        <f>'Input - Bookings'!M366</f>
        <v>J2.0UTT</v>
      </c>
      <c r="I366" s="24" t="str">
        <f>'Input - Bookings'!B366</f>
        <v>AUD</v>
      </c>
      <c r="J366" s="13" t="str">
        <f>IF(I366="USD",INDEX('AP Plants'!A:A,MATCH(G366,'AP Plants'!D:D,0)),INDEX('Australia Plants'!A:A,MATCH(G366,'Australia Plants'!D:D,0)))</f>
        <v>Maximal</v>
      </c>
      <c r="K366" s="73">
        <v>1</v>
      </c>
      <c r="L366" s="97">
        <v>39686</v>
      </c>
      <c r="M366" s="97">
        <v>30868</v>
      </c>
      <c r="N366" s="99">
        <v>0.17542635737588264</v>
      </c>
      <c r="O366" s="25">
        <f t="shared" si="130"/>
        <v>0.22219422466360939</v>
      </c>
      <c r="P366" s="14">
        <f>IFERROR(IF(OR(B366&amp;C366="PAU",B366&amp;C366="AIN"),VLOOKUP(B366&amp;C366&amp;G366,#REF!,8,0),VLOOKUP(B366&amp;G366,#REF!,8,0)),0)</f>
        <v>0</v>
      </c>
      <c r="Q366" s="15">
        <f t="shared" si="123"/>
        <v>0.17542635737588264</v>
      </c>
      <c r="R366" s="16" t="str">
        <f t="shared" si="124"/>
        <v>AOP</v>
      </c>
      <c r="S366" s="17">
        <f t="shared" si="116"/>
        <v>5415.0607994787451</v>
      </c>
      <c r="T366" s="18" t="e">
        <f t="shared" si="125"/>
        <v>#DIV/0!</v>
      </c>
      <c r="U366" s="23" t="e">
        <f t="shared" si="113"/>
        <v>#DIV/0!</v>
      </c>
      <c r="Y366" s="8" t="str">
        <f t="shared" si="126"/>
        <v>PAUH67838J2.0UTT</v>
      </c>
      <c r="Z366" s="8" t="str">
        <f>IF(Y366='Input - Bookings'!Q599,"OK","Check")</f>
        <v>Check</v>
      </c>
      <c r="AA366" s="139"/>
      <c r="AB366" s="103"/>
      <c r="AC366" s="103"/>
      <c r="AD366" s="100">
        <f>15239.8856080915+200</f>
        <v>15439.885608091499</v>
      </c>
      <c r="AE366" s="110"/>
      <c r="AF366" s="8" t="str">
        <f t="array" ref="AF366">_xlfn.XLOOKUP($G366,'AP Plants'!D:D,'AP Plants'!B:B)</f>
        <v>Class 1</v>
      </c>
      <c r="AG366" s="102">
        <f>AD366*'Currency &amp; Conversion'!$L$6</f>
        <v>22993.077647569862</v>
      </c>
      <c r="AH366" s="102"/>
      <c r="AI366" s="44">
        <v>1.4999999999999999E-2</v>
      </c>
      <c r="AJ366" s="15">
        <f>_xlfn.XLOOKUP($AF366,Warranty!B:B,Warranty!E:E)</f>
        <v>5.0000000000000001E-3</v>
      </c>
      <c r="AK366" s="8">
        <f>IF($I366="AUD",VLOOKUP(RIGHT('Wk - Margins'!$G366,3),'AU Freight'!C:G,5,0),0)</f>
        <v>2000</v>
      </c>
      <c r="AL366" s="15">
        <f t="shared" si="127"/>
        <v>0</v>
      </c>
      <c r="AM366" s="61">
        <f t="shared" si="128"/>
        <v>25452.939200521254</v>
      </c>
      <c r="AN366" s="63">
        <f t="shared" si="129"/>
        <v>0.17542635737588264</v>
      </c>
      <c r="AQ366" s="147"/>
    </row>
    <row r="367" spans="1:43">
      <c r="A367" s="10" t="str">
        <f>'Input - Bookings'!A367</f>
        <v>10-24</v>
      </c>
      <c r="B367" s="11" t="str">
        <f>'Input - Bookings'!C367</f>
        <v>P</v>
      </c>
      <c r="C367" s="11" t="str">
        <f>'Input - Bookings'!H367</f>
        <v>AU</v>
      </c>
      <c r="D367" s="24" t="str">
        <f>'Input - Bookings'!E367</f>
        <v>065</v>
      </c>
      <c r="E367" s="24" t="str">
        <f>'Input - Bookings'!G367</f>
        <v>ADAPT-A-LIFT GROUP (QLD)</v>
      </c>
      <c r="F367" s="146" t="str">
        <f>'Input - Bookings'!I367</f>
        <v>H67842</v>
      </c>
      <c r="G367" s="24" t="str">
        <f>'Input - Bookings'!L367</f>
        <v>A3C5</v>
      </c>
      <c r="H367" s="24" t="str">
        <f>'Input - Bookings'!M367</f>
        <v>J2.0UTT</v>
      </c>
      <c r="I367" s="24" t="str">
        <f>'Input - Bookings'!B367</f>
        <v>AUD</v>
      </c>
      <c r="J367" s="13" t="str">
        <f>IF(I367="USD",INDEX('AP Plants'!A:A,MATCH(G367,'AP Plants'!D:D,0)),INDEX('Australia Plants'!A:A,MATCH(G367,'Australia Plants'!D:D,0)))</f>
        <v>Maximal</v>
      </c>
      <c r="K367" s="73">
        <v>1</v>
      </c>
      <c r="L367" s="97">
        <v>39686</v>
      </c>
      <c r="M367" s="97">
        <v>30868</v>
      </c>
      <c r="N367" s="99">
        <v>0.17542635737588264</v>
      </c>
      <c r="O367" s="25">
        <f t="shared" si="130"/>
        <v>0.22219422466360939</v>
      </c>
      <c r="P367" s="14">
        <f>IFERROR(IF(OR(B367&amp;C367="PAU",B367&amp;C367="AIN"),VLOOKUP(B367&amp;C367&amp;G367,#REF!,8,0),VLOOKUP(B367&amp;G367,#REF!,8,0)),0)</f>
        <v>0</v>
      </c>
      <c r="Q367" s="15">
        <f t="shared" si="123"/>
        <v>0.17542635737588264</v>
      </c>
      <c r="R367" s="16" t="str">
        <f t="shared" si="124"/>
        <v>AOP</v>
      </c>
      <c r="S367" s="17">
        <f t="shared" si="116"/>
        <v>5415.0607994787451</v>
      </c>
      <c r="T367" s="18" t="e">
        <f t="shared" si="125"/>
        <v>#DIV/0!</v>
      </c>
      <c r="U367" s="23" t="e">
        <f t="shared" si="113"/>
        <v>#DIV/0!</v>
      </c>
      <c r="Y367" s="8" t="str">
        <f t="shared" si="126"/>
        <v>PAUH67842J2.0UTT</v>
      </c>
      <c r="Z367" s="8" t="str">
        <f>IF(Y367='Input - Bookings'!Q600,"OK","Check")</f>
        <v>Check</v>
      </c>
      <c r="AA367" s="139"/>
      <c r="AB367" s="103"/>
      <c r="AC367" s="103"/>
      <c r="AD367" s="100">
        <f>15239.8856080915+200</f>
        <v>15439.885608091499</v>
      </c>
      <c r="AE367" s="110"/>
      <c r="AF367" s="8" t="str">
        <f t="array" ref="AF367">_xlfn.XLOOKUP($G367,'AP Plants'!D:D,'AP Plants'!B:B)</f>
        <v>Class 1</v>
      </c>
      <c r="AG367" s="102">
        <f>AD367*'Currency &amp; Conversion'!$L$6</f>
        <v>22993.077647569862</v>
      </c>
      <c r="AH367" s="102"/>
      <c r="AI367" s="44">
        <v>1.4999999999999999E-2</v>
      </c>
      <c r="AJ367" s="15">
        <f>_xlfn.XLOOKUP($AF367,Warranty!B:B,Warranty!E:E)</f>
        <v>5.0000000000000001E-3</v>
      </c>
      <c r="AK367" s="8">
        <f>IF($I367="AUD",VLOOKUP(RIGHT('Wk - Margins'!$G367,3),'AU Freight'!C:G,5,0),0)</f>
        <v>2000</v>
      </c>
      <c r="AL367" s="15">
        <f t="shared" si="127"/>
        <v>0</v>
      </c>
      <c r="AM367" s="61">
        <f t="shared" si="128"/>
        <v>25452.939200521254</v>
      </c>
      <c r="AN367" s="63">
        <f t="shared" si="129"/>
        <v>0.17542635737588264</v>
      </c>
      <c r="AQ367" s="147"/>
    </row>
    <row r="368" spans="1:43">
      <c r="A368" s="10" t="str">
        <f>'Input - Bookings'!A368</f>
        <v>10-25</v>
      </c>
      <c r="B368" s="11" t="str">
        <f>'Input - Bookings'!C368</f>
        <v>P</v>
      </c>
      <c r="C368" s="11" t="str">
        <f>'Input - Bookings'!H368</f>
        <v>AU</v>
      </c>
      <c r="D368" s="24" t="str">
        <f>'Input - Bookings'!E368</f>
        <v>065</v>
      </c>
      <c r="E368" s="24" t="str">
        <f>'Input - Bookings'!G368</f>
        <v>ADAPT-A-LIFT GROUP (NSW)</v>
      </c>
      <c r="F368" s="24" t="str">
        <f>'Input - Bookings'!I368</f>
        <v>H68221</v>
      </c>
      <c r="G368" s="24" t="str">
        <f>'Input - Bookings'!L368</f>
        <v>D466</v>
      </c>
      <c r="H368" s="24" t="str">
        <f>'Input - Bookings'!M368</f>
        <v>H3.5XT</v>
      </c>
      <c r="I368" s="24" t="str">
        <f>'Input - Bookings'!B368</f>
        <v>AUD</v>
      </c>
      <c r="J368" s="13" t="str">
        <f>IF(I368="USD",INDEX('AP Plants'!A:A,MATCH(G368,'AP Plants'!D:D,0)),INDEX('Australia Plants'!A:A,MATCH(G368,'Australia Plants'!D:D,0)))</f>
        <v>SN</v>
      </c>
      <c r="K368" s="73">
        <v>1</v>
      </c>
      <c r="L368" s="97">
        <v>42360</v>
      </c>
      <c r="M368" s="97">
        <v>35822.1</v>
      </c>
      <c r="N368" s="99">
        <v>0.1091413571392561</v>
      </c>
      <c r="O368" s="25">
        <f t="shared" si="130"/>
        <v>0.15434135977337116</v>
      </c>
      <c r="P368" s="14">
        <f>IFERROR(IF(OR(B368&amp;C368="PAU",B368&amp;C368="AIN"),VLOOKUP(B368&amp;C368&amp;G368,#REF!,8,0),VLOOKUP(B368&amp;G368,#REF!,8,0)),0)</f>
        <v>0</v>
      </c>
      <c r="Q368" s="15">
        <f t="shared" si="123"/>
        <v>0.1091413571392561</v>
      </c>
      <c r="R368" s="16" t="str">
        <f t="shared" si="124"/>
        <v>AOP</v>
      </c>
      <c r="S368" s="17">
        <f t="shared" si="116"/>
        <v>3909.672609578146</v>
      </c>
      <c r="T368" s="18" t="e">
        <f t="shared" si="125"/>
        <v>#DIV/0!</v>
      </c>
      <c r="U368" s="23" t="e">
        <f t="shared" si="113"/>
        <v>#DIV/0!</v>
      </c>
      <c r="Y368" s="8" t="str">
        <f t="shared" si="126"/>
        <v>PAUH68221H3.5XT</v>
      </c>
      <c r="Z368" s="8" t="str">
        <f>IF(Y368='Input - Bookings'!Q601,"OK","Check")</f>
        <v>Check</v>
      </c>
      <c r="AA368" s="139"/>
      <c r="AB368" s="103"/>
      <c r="AC368" s="103"/>
      <c r="AD368" s="100">
        <v>19606.807833671624</v>
      </c>
      <c r="AE368" s="110"/>
      <c r="AF368" s="8" t="str">
        <f t="array" ref="AF368">_xlfn.XLOOKUP($G368,'AP Plants'!D:D,'AP Plants'!B:B)</f>
        <v>Class 5 NOT BT</v>
      </c>
      <c r="AG368" s="102">
        <f>AD368*'Currency &amp; Conversion'!$L$6</f>
        <v>29198.458225903785</v>
      </c>
      <c r="AH368" s="102"/>
      <c r="AI368" s="44">
        <v>1.4999999999999999E-2</v>
      </c>
      <c r="AJ368" s="15">
        <f>_xlfn.XLOOKUP($AF368,Warranty!B:B,Warranty!E:E)</f>
        <v>5.0000000000000001E-3</v>
      </c>
      <c r="AK368" s="8">
        <f>IF($I368="AUD",VLOOKUP(RIGHT('Wk - Margins'!$G368,3),'AU Freight'!C:G,5,0),0)</f>
        <v>2130</v>
      </c>
      <c r="AL368" s="15">
        <f t="shared" si="127"/>
        <v>0</v>
      </c>
      <c r="AM368" s="61">
        <f t="shared" si="128"/>
        <v>31912.427390421853</v>
      </c>
      <c r="AN368" s="63">
        <f t="shared" si="129"/>
        <v>0.1091413571392561</v>
      </c>
      <c r="AQ368" s="147"/>
    </row>
    <row r="369" spans="1:43">
      <c r="A369" s="10" t="str">
        <f>'Input - Bookings'!A369</f>
        <v>10-25</v>
      </c>
      <c r="B369" s="11" t="str">
        <f>'Input - Bookings'!C369</f>
        <v>P</v>
      </c>
      <c r="C369" s="11" t="str">
        <f>'Input - Bookings'!H369</f>
        <v>AU</v>
      </c>
      <c r="D369" s="24" t="str">
        <f>'Input - Bookings'!E369</f>
        <v>065</v>
      </c>
      <c r="E369" s="24" t="str">
        <f>'Input - Bookings'!G369</f>
        <v>ADAPT-A-LIFT GROUP (VIC)</v>
      </c>
      <c r="F369" s="24" t="str">
        <f>'Input - Bookings'!I369</f>
        <v>H67846</v>
      </c>
      <c r="G369" s="24" t="str">
        <f>'Input - Bookings'!L369</f>
        <v>D466</v>
      </c>
      <c r="H369" s="24" t="str">
        <f>'Input - Bookings'!M369</f>
        <v>H2.5XT</v>
      </c>
      <c r="I369" s="24" t="str">
        <f>'Input - Bookings'!B369</f>
        <v>AUD</v>
      </c>
      <c r="J369" s="13" t="str">
        <f>IF(I369="USD",INDEX('AP Plants'!A:A,MATCH(G369,'AP Plants'!D:D,0)),INDEX('Australia Plants'!A:A,MATCH(G369,'Australia Plants'!D:D,0)))</f>
        <v>SN</v>
      </c>
      <c r="K369" s="73">
        <v>1</v>
      </c>
      <c r="L369" s="97">
        <v>41580</v>
      </c>
      <c r="M369" s="97">
        <v>31965.674999999999</v>
      </c>
      <c r="N369" s="99">
        <v>0.16210082343059407</v>
      </c>
      <c r="O369" s="25">
        <f t="shared" si="130"/>
        <v>0.23122474747474753</v>
      </c>
      <c r="P369" s="14">
        <f>IFERROR(IF(OR(B369&amp;C369="PAU",B369&amp;C369="AIN"),VLOOKUP(B369&amp;C369&amp;G369,#REF!,8,0),VLOOKUP(B369&amp;G369,#REF!,8,0)),0)</f>
        <v>0</v>
      </c>
      <c r="Q369" s="15">
        <f t="shared" si="123"/>
        <v>0.16210082343059407</v>
      </c>
      <c r="R369" s="16" t="str">
        <f t="shared" si="124"/>
        <v>AOP</v>
      </c>
      <c r="S369" s="17">
        <f t="shared" si="116"/>
        <v>5181.662239014755</v>
      </c>
      <c r="T369" s="18" t="e">
        <f t="shared" si="125"/>
        <v>#DIV/0!</v>
      </c>
      <c r="U369" s="23" t="e">
        <f t="shared" si="113"/>
        <v>#DIV/0!</v>
      </c>
      <c r="Y369" s="8" t="str">
        <f t="shared" si="126"/>
        <v>PAUH67846H2.5XT</v>
      </c>
      <c r="Z369" s="8" t="str">
        <f>IF(Y369='Input - Bookings'!Q602,"OK","Check")</f>
        <v>Check</v>
      </c>
      <c r="AA369" s="139"/>
      <c r="AB369" s="103"/>
      <c r="AC369" s="103"/>
      <c r="AD369" s="100">
        <v>16230.594108288993</v>
      </c>
      <c r="AE369" s="98"/>
      <c r="AF369" s="8" t="str">
        <f t="array" ref="AF369">_xlfn.XLOOKUP($G369,'AP Plants'!D:D,'AP Plants'!B:B)</f>
        <v>Class 5 NOT BT</v>
      </c>
      <c r="AG369" s="102">
        <f>AD369*'Currency &amp; Conversion'!$L$6</f>
        <v>24170.60074606397</v>
      </c>
      <c r="AH369" s="102"/>
      <c r="AI369" s="44">
        <v>1.4999999999999999E-2</v>
      </c>
      <c r="AJ369" s="15">
        <f>_xlfn.XLOOKUP($AF369,Warranty!B:B,Warranty!E:E)</f>
        <v>5.0000000000000001E-3</v>
      </c>
      <c r="AK369" s="8">
        <f>IF($I369="AUD",VLOOKUP(RIGHT('Wk - Margins'!$G369,3),'AU Freight'!C:G,5,0),0)</f>
        <v>2130</v>
      </c>
      <c r="AL369" s="15">
        <f t="shared" si="127"/>
        <v>0</v>
      </c>
      <c r="AM369" s="61">
        <f t="shared" si="128"/>
        <v>26784.012760985246</v>
      </c>
      <c r="AN369" s="63">
        <f t="shared" si="129"/>
        <v>0.16210082343059407</v>
      </c>
      <c r="AQ369" s="147"/>
    </row>
    <row r="370" spans="1:43">
      <c r="A370" s="10" t="str">
        <f>'Input - Bookings'!A370</f>
        <v>10-25</v>
      </c>
      <c r="B370" s="11" t="str">
        <f>'Input - Bookings'!C370</f>
        <v>P</v>
      </c>
      <c r="C370" s="11" t="str">
        <f>'Input - Bookings'!H370</f>
        <v>AU</v>
      </c>
      <c r="D370" s="24" t="str">
        <f>'Input - Bookings'!E370</f>
        <v>065</v>
      </c>
      <c r="E370" s="24" t="str">
        <f>'Input - Bookings'!G370</f>
        <v>ADAPT-A-LIFT GROUP (VIC)</v>
      </c>
      <c r="F370" s="24" t="str">
        <f>'Input - Bookings'!I370</f>
        <v>H67847</v>
      </c>
      <c r="G370" s="24" t="str">
        <f>'Input - Bookings'!L370</f>
        <v>D466</v>
      </c>
      <c r="H370" s="24" t="str">
        <f>'Input - Bookings'!M370</f>
        <v>H2.5XT</v>
      </c>
      <c r="I370" s="24" t="str">
        <f>'Input - Bookings'!B370</f>
        <v>AUD</v>
      </c>
      <c r="J370" s="13" t="str">
        <f>IF(I370="USD",INDEX('AP Plants'!A:A,MATCH(G370,'AP Plants'!D:D,0)),INDEX('Australia Plants'!A:A,MATCH(G370,'Australia Plants'!D:D,0)))</f>
        <v>SN</v>
      </c>
      <c r="K370" s="73">
        <v>1</v>
      </c>
      <c r="L370" s="97">
        <v>41580</v>
      </c>
      <c r="M370" s="97">
        <v>31965.674999999999</v>
      </c>
      <c r="N370" s="99">
        <v>0.16210082343059407</v>
      </c>
      <c r="O370" s="25">
        <f t="shared" si="130"/>
        <v>0.23122474747474753</v>
      </c>
      <c r="P370" s="14">
        <f>IFERROR(IF(OR(B370&amp;C370="PAU",B370&amp;C370="AIN"),VLOOKUP(B370&amp;C370&amp;G370,#REF!,8,0),VLOOKUP(B370&amp;G370,#REF!,8,0)),0)</f>
        <v>0</v>
      </c>
      <c r="Q370" s="15">
        <f t="shared" si="123"/>
        <v>0.16210082343059407</v>
      </c>
      <c r="R370" s="16" t="str">
        <f t="shared" si="124"/>
        <v>AOP</v>
      </c>
      <c r="S370" s="17">
        <f t="shared" si="116"/>
        <v>5181.662239014755</v>
      </c>
      <c r="T370" s="18" t="e">
        <f t="shared" si="125"/>
        <v>#DIV/0!</v>
      </c>
      <c r="U370" s="23" t="e">
        <f t="shared" si="113"/>
        <v>#DIV/0!</v>
      </c>
      <c r="Y370" s="8" t="str">
        <f t="shared" si="126"/>
        <v>PAUH67847H2.5XT</v>
      </c>
      <c r="Z370" s="8" t="str">
        <f>IF(Y370='Input - Bookings'!Q603,"OK","Check")</f>
        <v>Check</v>
      </c>
      <c r="AA370" s="139"/>
      <c r="AB370" s="103"/>
      <c r="AC370" s="103"/>
      <c r="AD370" s="100">
        <v>16230.594108288993</v>
      </c>
      <c r="AE370" s="98"/>
      <c r="AF370" s="8" t="str">
        <f t="array" ref="AF370">_xlfn.XLOOKUP($G370,'AP Plants'!D:D,'AP Plants'!B:B)</f>
        <v>Class 5 NOT BT</v>
      </c>
      <c r="AG370" s="102">
        <f>AD370*'Currency &amp; Conversion'!$L$6</f>
        <v>24170.60074606397</v>
      </c>
      <c r="AH370" s="102"/>
      <c r="AI370" s="44">
        <v>1.4999999999999999E-2</v>
      </c>
      <c r="AJ370" s="15">
        <f>_xlfn.XLOOKUP($AF370,Warranty!B:B,Warranty!E:E)</f>
        <v>5.0000000000000001E-3</v>
      </c>
      <c r="AK370" s="8">
        <f>IF($I370="AUD",VLOOKUP(RIGHT('Wk - Margins'!$G370,3),'AU Freight'!C:G,5,0),0)</f>
        <v>2130</v>
      </c>
      <c r="AL370" s="15">
        <f t="shared" si="127"/>
        <v>0</v>
      </c>
      <c r="AM370" s="61">
        <f t="shared" si="128"/>
        <v>26784.012760985246</v>
      </c>
      <c r="AN370" s="63">
        <f t="shared" si="129"/>
        <v>0.16210082343059407</v>
      </c>
      <c r="AQ370" s="147"/>
    </row>
    <row r="371" spans="1:43">
      <c r="A371" s="10" t="str">
        <f>'Input - Bookings'!A371</f>
        <v>10-25</v>
      </c>
      <c r="B371" s="11" t="str">
        <f>'Input - Bookings'!C371</f>
        <v>P</v>
      </c>
      <c r="C371" s="11" t="str">
        <f>'Input - Bookings'!H371</f>
        <v>AU</v>
      </c>
      <c r="D371" s="24" t="str">
        <f>'Input - Bookings'!E371</f>
        <v>065</v>
      </c>
      <c r="E371" s="24" t="str">
        <f>'Input - Bookings'!G371</f>
        <v>ADAPT-A-LIFT GROUP (VIC)</v>
      </c>
      <c r="F371" s="24" t="str">
        <f>'Input - Bookings'!I371</f>
        <v>H67848</v>
      </c>
      <c r="G371" s="24" t="str">
        <f>'Input - Bookings'!L371</f>
        <v>A3C1</v>
      </c>
      <c r="H371" s="24" t="str">
        <f>'Input - Bookings'!M371</f>
        <v>H3.5UT</v>
      </c>
      <c r="I371" s="24" t="str">
        <f>'Input - Bookings'!B371</f>
        <v>AUD</v>
      </c>
      <c r="J371" s="13" t="str">
        <f>IF(I371="USD",INDEX('AP Plants'!A:A,MATCH(G371,'AP Plants'!D:D,0)),INDEX('Australia Plants'!A:A,MATCH(G371,'Australia Plants'!D:D,0)))</f>
        <v>Maximal</v>
      </c>
      <c r="K371" s="73">
        <v>1</v>
      </c>
      <c r="L371" s="97">
        <v>35180</v>
      </c>
      <c r="M371" s="97">
        <v>25521.3</v>
      </c>
      <c r="N371" s="99">
        <v>0.24613561451980082</v>
      </c>
      <c r="O371" s="25">
        <f t="shared" si="130"/>
        <v>0.27455088118249005</v>
      </c>
      <c r="P371" s="14">
        <f>IFERROR(IF(OR(B371&amp;C371="PAU",B371&amp;C371="AIN"),VLOOKUP(B371&amp;C371&amp;G371,#REF!,8,0),VLOOKUP(B371&amp;G371,#REF!,8,0)),0)</f>
        <v>0</v>
      </c>
      <c r="Q371" s="15">
        <f t="shared" si="123"/>
        <v>0.24613561451980082</v>
      </c>
      <c r="R371" s="16" t="str">
        <f t="shared" si="124"/>
        <v>AOP</v>
      </c>
      <c r="S371" s="17">
        <f t="shared" si="116"/>
        <v>6281.7008588441922</v>
      </c>
      <c r="T371" s="18" t="e">
        <f t="shared" si="125"/>
        <v>#DIV/0!</v>
      </c>
      <c r="U371" s="23" t="e">
        <f t="shared" si="113"/>
        <v>#DIV/0!</v>
      </c>
      <c r="Y371" s="8" t="str">
        <f t="shared" si="126"/>
        <v>PAUH67848H3.5UT</v>
      </c>
      <c r="Z371" s="8" t="str">
        <f>IF(Y371='Input - Bookings'!Q604,"OK","Check")</f>
        <v>Check</v>
      </c>
      <c r="AA371" s="118"/>
      <c r="AB371" s="103"/>
      <c r="AC371" s="103"/>
      <c r="AD371" s="100">
        <v>11349.427736668593</v>
      </c>
      <c r="AE371" s="98"/>
      <c r="AF371" s="8" t="str">
        <f t="array" ref="AF371">_xlfn.XLOOKUP($G371,'AP Plants'!D:D,'AP Plants'!B:B)</f>
        <v>Class 5 NOT BT</v>
      </c>
      <c r="AG371" s="102">
        <f>AD371*'Currency &amp; Conversion'!$L$6</f>
        <v>16901.56778544687</v>
      </c>
      <c r="AH371" s="102"/>
      <c r="AI371" s="44">
        <v>1.4999999999999999E-2</v>
      </c>
      <c r="AJ371" s="15">
        <f>_xlfn.XLOOKUP($AF371,Warranty!B:B,Warranty!E:E)</f>
        <v>5.0000000000000001E-3</v>
      </c>
      <c r="AK371" s="8">
        <f>IF($I371="AUD",VLOOKUP(RIGHT('Wk - Margins'!$G371,3),'AU Freight'!C:G,5,0),0)</f>
        <v>2000</v>
      </c>
      <c r="AL371" s="15">
        <f t="shared" si="127"/>
        <v>0</v>
      </c>
      <c r="AM371" s="61">
        <f t="shared" si="128"/>
        <v>19239.599141155806</v>
      </c>
      <c r="AN371" s="63">
        <f t="shared" si="129"/>
        <v>0.24613561451980082</v>
      </c>
      <c r="AQ371" s="147"/>
    </row>
    <row r="372" spans="1:43">
      <c r="A372" s="10" t="str">
        <f>'Input - Bookings'!A372</f>
        <v>10-25</v>
      </c>
      <c r="B372" s="11" t="str">
        <f>'Input - Bookings'!C372</f>
        <v>P</v>
      </c>
      <c r="C372" s="11" t="str">
        <f>'Input - Bookings'!H372</f>
        <v>AU</v>
      </c>
      <c r="D372" s="24" t="str">
        <f>'Input - Bookings'!E372</f>
        <v>065</v>
      </c>
      <c r="E372" s="24" t="str">
        <f>'Input - Bookings'!G372</f>
        <v>ADAPT-A-LIFT GROUP (VIC)</v>
      </c>
      <c r="F372" s="24" t="str">
        <f>'Input - Bookings'!I372</f>
        <v>H67849</v>
      </c>
      <c r="G372" s="24" t="str">
        <f>'Input - Bookings'!L372</f>
        <v>A3C1</v>
      </c>
      <c r="H372" s="24" t="str">
        <f>'Input - Bookings'!M372</f>
        <v>H3.5UT</v>
      </c>
      <c r="I372" s="24" t="str">
        <f>'Input - Bookings'!B372</f>
        <v>AUD</v>
      </c>
      <c r="J372" s="13" t="str">
        <f>IF(I372="USD",INDEX('AP Plants'!A:A,MATCH(G372,'AP Plants'!D:D,0)),INDEX('Australia Plants'!A:A,MATCH(G372,'Australia Plants'!D:D,0)))</f>
        <v>Maximal</v>
      </c>
      <c r="K372" s="73">
        <v>1</v>
      </c>
      <c r="L372" s="97">
        <v>35180</v>
      </c>
      <c r="M372" s="97">
        <v>25521.3</v>
      </c>
      <c r="N372" s="99">
        <v>0.24613561451980082</v>
      </c>
      <c r="O372" s="25">
        <f t="shared" si="130"/>
        <v>0.27455088118249005</v>
      </c>
      <c r="P372" s="14">
        <f>IFERROR(IF(OR(B372&amp;C372="PAU",B372&amp;C372="AIN"),VLOOKUP(B372&amp;C372&amp;G372,#REF!,8,0),VLOOKUP(B372&amp;G372,#REF!,8,0)),0)</f>
        <v>0</v>
      </c>
      <c r="Q372" s="15">
        <f t="shared" si="123"/>
        <v>0.24613561451980082</v>
      </c>
      <c r="R372" s="16" t="str">
        <f t="shared" si="124"/>
        <v>AOP</v>
      </c>
      <c r="S372" s="17">
        <f t="shared" si="116"/>
        <v>6281.7008588441922</v>
      </c>
      <c r="T372" s="18" t="e">
        <f t="shared" si="125"/>
        <v>#DIV/0!</v>
      </c>
      <c r="U372" s="23" t="e">
        <f t="shared" si="113"/>
        <v>#DIV/0!</v>
      </c>
      <c r="Y372" s="8" t="str">
        <f t="shared" si="126"/>
        <v>PAUH67849H3.5UT</v>
      </c>
      <c r="Z372" s="8" t="str">
        <f>IF(Y372='Input - Bookings'!Q605,"OK","Check")</f>
        <v>Check</v>
      </c>
      <c r="AA372" s="118"/>
      <c r="AB372" s="103"/>
      <c r="AC372" s="103"/>
      <c r="AD372" s="100">
        <v>11349.427736668593</v>
      </c>
      <c r="AE372" s="100"/>
      <c r="AF372" s="8" t="str">
        <f t="array" ref="AF372">_xlfn.XLOOKUP($G372,'AP Plants'!D:D,'AP Plants'!B:B)</f>
        <v>Class 5 NOT BT</v>
      </c>
      <c r="AG372" s="102">
        <f>AD372*'Currency &amp; Conversion'!$L$6</f>
        <v>16901.56778544687</v>
      </c>
      <c r="AH372" s="102"/>
      <c r="AI372" s="44">
        <v>1.4999999999999999E-2</v>
      </c>
      <c r="AJ372" s="15">
        <f>_xlfn.XLOOKUP($AF372,Warranty!B:B,Warranty!E:E)</f>
        <v>5.0000000000000001E-3</v>
      </c>
      <c r="AK372" s="8">
        <f>IF($I372="AUD",VLOOKUP(RIGHT('Wk - Margins'!$G372,3),'AU Freight'!C:G,5,0),0)</f>
        <v>2000</v>
      </c>
      <c r="AL372" s="15">
        <f t="shared" si="127"/>
        <v>0</v>
      </c>
      <c r="AM372" s="61">
        <f t="shared" si="128"/>
        <v>19239.599141155806</v>
      </c>
      <c r="AN372" s="63">
        <f t="shared" ref="AN372:AN383" si="131">1-AM372/M372</f>
        <v>0.24613561451980082</v>
      </c>
      <c r="AQ372" s="147"/>
    </row>
    <row r="373" spans="1:43">
      <c r="A373" s="10" t="str">
        <f>'Input - Bookings'!A373</f>
        <v>10-25</v>
      </c>
      <c r="B373" s="11" t="str">
        <f>'Input - Bookings'!C373</f>
        <v>P</v>
      </c>
      <c r="C373" s="11" t="str">
        <f>'Input - Bookings'!H373</f>
        <v>AU</v>
      </c>
      <c r="D373" s="24" t="str">
        <f>'Input - Bookings'!E373</f>
        <v>065</v>
      </c>
      <c r="E373" s="24" t="str">
        <f>'Input - Bookings'!G373</f>
        <v>ADAPT-A-LIFT GROUP (VIC)</v>
      </c>
      <c r="F373" s="24" t="str">
        <f>'Input - Bookings'!I373</f>
        <v>H67850</v>
      </c>
      <c r="G373" s="24" t="str">
        <f>'Input - Bookings'!L373</f>
        <v>D466</v>
      </c>
      <c r="H373" s="24" t="str">
        <f>'Input - Bookings'!M373</f>
        <v>H3.0XT</v>
      </c>
      <c r="I373" s="24" t="str">
        <f>'Input - Bookings'!B373</f>
        <v>AUD</v>
      </c>
      <c r="J373" s="13" t="str">
        <f>IF(I373="USD",INDEX('AP Plants'!A:A,MATCH(G373,'AP Plants'!D:D,0)),INDEX('Australia Plants'!A:A,MATCH(G373,'Australia Plants'!D:D,0)))</f>
        <v>SN</v>
      </c>
      <c r="K373" s="73">
        <v>1</v>
      </c>
      <c r="L373" s="97">
        <v>39930</v>
      </c>
      <c r="M373" s="97">
        <v>32056.574999999997</v>
      </c>
      <c r="N373" s="99">
        <v>0.11357401555937852</v>
      </c>
      <c r="O373" s="25">
        <f t="shared" si="130"/>
        <v>0.1971806912096169</v>
      </c>
      <c r="P373" s="14">
        <f>IFERROR(IF(OR(B373&amp;C373="PAU",B373&amp;C373="AIN"),VLOOKUP(B373&amp;C373&amp;G373,#REF!,8,0),VLOOKUP(B373&amp;G373,#REF!,8,0)),0)</f>
        <v>0</v>
      </c>
      <c r="Q373" s="15">
        <f t="shared" si="123"/>
        <v>0.11357401555937852</v>
      </c>
      <c r="R373" s="16" t="str">
        <f t="shared" si="124"/>
        <v>AOP</v>
      </c>
      <c r="S373" s="17">
        <f t="shared" si="116"/>
        <v>3640.7939478303842</v>
      </c>
      <c r="T373" s="18" t="e">
        <f t="shared" si="125"/>
        <v>#DIV/0!</v>
      </c>
      <c r="U373" s="23" t="e">
        <f t="shared" si="113"/>
        <v>#DIV/0!</v>
      </c>
      <c r="Y373" s="8" t="str">
        <f t="shared" si="126"/>
        <v>PAUH67850H3.0XT</v>
      </c>
      <c r="Z373" s="8" t="str">
        <f>IF(Y373='Input - Bookings'!Q606,"OK","Check")</f>
        <v>Check</v>
      </c>
      <c r="AA373" s="118"/>
      <c r="AB373" s="103"/>
      <c r="AC373" s="103"/>
      <c r="AD373" s="100">
        <v>17304.843930001643</v>
      </c>
      <c r="AE373" s="100"/>
      <c r="AF373" s="8" t="str">
        <f t="array" ref="AF373">_xlfn.XLOOKUP($G373,'AP Plants'!D:D,'AP Plants'!B:B)</f>
        <v>Class 5 NOT BT</v>
      </c>
      <c r="AG373" s="102">
        <f>AD373*'Currency &amp; Conversion'!$L$6</f>
        <v>25770.373580558447</v>
      </c>
      <c r="AH373" s="102"/>
      <c r="AI373" s="44">
        <v>1.4999999999999999E-2</v>
      </c>
      <c r="AJ373" s="15">
        <f>_xlfn.XLOOKUP($AF373,Warranty!B:B,Warranty!E:E)</f>
        <v>5.0000000000000001E-3</v>
      </c>
      <c r="AK373" s="8">
        <f>IF($I373="AUD",VLOOKUP(RIGHT('Wk - Margins'!$G373,3),'AU Freight'!C:G,5,0),0)</f>
        <v>2130</v>
      </c>
      <c r="AL373" s="15">
        <f t="shared" si="127"/>
        <v>0</v>
      </c>
      <c r="AM373" s="61">
        <f t="shared" si="128"/>
        <v>28415.781052169612</v>
      </c>
      <c r="AN373" s="63">
        <f t="shared" si="131"/>
        <v>0.11357401555937852</v>
      </c>
      <c r="AQ373" s="147"/>
    </row>
    <row r="374" spans="1:43">
      <c r="A374" s="10" t="str">
        <f>'Input - Bookings'!A374</f>
        <v>10-25</v>
      </c>
      <c r="B374" s="11" t="str">
        <f>'Input - Bookings'!C374</f>
        <v>P</v>
      </c>
      <c r="C374" s="11" t="str">
        <f>'Input - Bookings'!H374</f>
        <v>AU</v>
      </c>
      <c r="D374" s="24" t="str">
        <f>'Input - Bookings'!E374</f>
        <v>065</v>
      </c>
      <c r="E374" s="24" t="str">
        <f>'Input - Bookings'!G374</f>
        <v>ADAPT-A-LIFT GROUP (VIC)</v>
      </c>
      <c r="F374" s="24" t="str">
        <f>'Input - Bookings'!I374</f>
        <v>H67851</v>
      </c>
      <c r="G374" s="24" t="str">
        <f>'Input - Bookings'!L374</f>
        <v>D466</v>
      </c>
      <c r="H374" s="24" t="str">
        <f>'Input - Bookings'!M374</f>
        <v>H3.0XT</v>
      </c>
      <c r="I374" s="24" t="str">
        <f>'Input - Bookings'!B374</f>
        <v>AUD</v>
      </c>
      <c r="J374" s="13" t="str">
        <f>IF(I374="USD",INDEX('AP Plants'!A:A,MATCH(G374,'AP Plants'!D:D,0)),INDEX('Australia Plants'!A:A,MATCH(G374,'Australia Plants'!D:D,0)))</f>
        <v>SN</v>
      </c>
      <c r="K374" s="73">
        <v>1</v>
      </c>
      <c r="L374" s="97">
        <v>39930</v>
      </c>
      <c r="M374" s="97">
        <v>32056.574999999997</v>
      </c>
      <c r="N374" s="99">
        <v>0.11357401555937852</v>
      </c>
      <c r="O374" s="25">
        <f t="shared" si="130"/>
        <v>0.1971806912096169</v>
      </c>
      <c r="P374" s="14">
        <f>IFERROR(IF(OR(B374&amp;C374="PAU",B374&amp;C374="AIN"),VLOOKUP(B374&amp;C374&amp;G374,#REF!,8,0),VLOOKUP(B374&amp;G374,#REF!,8,0)),0)</f>
        <v>0</v>
      </c>
      <c r="Q374" s="15">
        <f t="shared" si="123"/>
        <v>0.11357401555937852</v>
      </c>
      <c r="R374" s="16" t="str">
        <f t="shared" si="124"/>
        <v>AOP</v>
      </c>
      <c r="S374" s="17">
        <f t="shared" si="116"/>
        <v>3640.7939478303842</v>
      </c>
      <c r="T374" s="18" t="e">
        <f t="shared" si="125"/>
        <v>#DIV/0!</v>
      </c>
      <c r="U374" s="23" t="e">
        <f t="shared" si="113"/>
        <v>#DIV/0!</v>
      </c>
      <c r="Y374" s="8" t="str">
        <f t="shared" si="126"/>
        <v>PAUH67851H3.0XT</v>
      </c>
      <c r="Z374" s="8" t="str">
        <f>IF(Y374='Input - Bookings'!Q607,"OK","Check")</f>
        <v>Check</v>
      </c>
      <c r="AA374" s="118"/>
      <c r="AB374" s="103"/>
      <c r="AC374" s="103"/>
      <c r="AD374" s="100">
        <v>17304.843930001643</v>
      </c>
      <c r="AE374" s="98"/>
      <c r="AF374" s="8" t="str">
        <f t="array" ref="AF374">_xlfn.XLOOKUP($G374,'AP Plants'!D:D,'AP Plants'!B:B)</f>
        <v>Class 5 NOT BT</v>
      </c>
      <c r="AG374" s="102">
        <f>AD374*'Currency &amp; Conversion'!$L$6</f>
        <v>25770.373580558447</v>
      </c>
      <c r="AH374" s="102"/>
      <c r="AI374" s="44">
        <v>1.4999999999999999E-2</v>
      </c>
      <c r="AJ374" s="15">
        <f>_xlfn.XLOOKUP($AF374,Warranty!B:B,Warranty!E:E)</f>
        <v>5.0000000000000001E-3</v>
      </c>
      <c r="AK374" s="8">
        <f>IF($I374="AUD",VLOOKUP(RIGHT('Wk - Margins'!$G374,3),'AU Freight'!C:G,5,0),0)</f>
        <v>2130</v>
      </c>
      <c r="AL374" s="15">
        <f t="shared" si="127"/>
        <v>0</v>
      </c>
      <c r="AM374" s="61">
        <f t="shared" si="128"/>
        <v>28415.781052169612</v>
      </c>
      <c r="AN374" s="63">
        <f t="shared" si="131"/>
        <v>0.11357401555937852</v>
      </c>
      <c r="AQ374" s="147"/>
    </row>
    <row r="375" spans="1:43">
      <c r="A375" s="10" t="str">
        <f>'Input - Bookings'!A375</f>
        <v>10-25</v>
      </c>
      <c r="B375" s="11" t="str">
        <f>'Input - Bookings'!C375</f>
        <v>P</v>
      </c>
      <c r="C375" s="11" t="str">
        <f>'Input - Bookings'!H375</f>
        <v>AU</v>
      </c>
      <c r="D375" s="24" t="str">
        <f>'Input - Bookings'!E375</f>
        <v>065</v>
      </c>
      <c r="E375" s="24" t="str">
        <f>'Input - Bookings'!G375</f>
        <v>ADAPT-A-LIFT GROUP (VIC)</v>
      </c>
      <c r="F375" s="24" t="str">
        <f>'Input - Bookings'!I375</f>
        <v>H67852</v>
      </c>
      <c r="G375" s="24" t="str">
        <f>'Input - Bookings'!L375</f>
        <v>D466</v>
      </c>
      <c r="H375" s="24" t="str">
        <f>'Input - Bookings'!M375</f>
        <v>H3.0XT</v>
      </c>
      <c r="I375" s="24" t="str">
        <f>'Input - Bookings'!B375</f>
        <v>AUD</v>
      </c>
      <c r="J375" s="13" t="str">
        <f>IF(I375="USD",INDEX('AP Plants'!A:A,MATCH(G375,'AP Plants'!D:D,0)),INDEX('Australia Plants'!A:A,MATCH(G375,'Australia Plants'!D:D,0)))</f>
        <v>SN</v>
      </c>
      <c r="K375" s="73">
        <v>1</v>
      </c>
      <c r="L375" s="97">
        <v>39930</v>
      </c>
      <c r="M375" s="97">
        <v>32056.574999999997</v>
      </c>
      <c r="N375" s="99">
        <v>0.11357401555937852</v>
      </c>
      <c r="O375" s="25">
        <f t="shared" si="130"/>
        <v>0.1971806912096169</v>
      </c>
      <c r="P375" s="14">
        <f>IFERROR(IF(OR(B375&amp;C375="PAU",B375&amp;C375="AIN"),VLOOKUP(B375&amp;C375&amp;G375,#REF!,8,0),VLOOKUP(B375&amp;G375,#REF!,8,0)),0)</f>
        <v>0</v>
      </c>
      <c r="Q375" s="15">
        <f t="shared" si="123"/>
        <v>0.11357401555937852</v>
      </c>
      <c r="R375" s="16" t="str">
        <f t="shared" si="124"/>
        <v>AOP</v>
      </c>
      <c r="S375" s="17">
        <f t="shared" si="116"/>
        <v>3640.7939478303842</v>
      </c>
      <c r="T375" s="18" t="e">
        <f t="shared" si="125"/>
        <v>#DIV/0!</v>
      </c>
      <c r="U375" s="23" t="e">
        <f t="shared" si="113"/>
        <v>#DIV/0!</v>
      </c>
      <c r="Y375" s="8" t="str">
        <f t="shared" si="126"/>
        <v>PAUH67852H3.0XT</v>
      </c>
      <c r="Z375" s="8" t="str">
        <f>IF(Y375='Input - Bookings'!Q608,"OK","Check")</f>
        <v>Check</v>
      </c>
      <c r="AA375" s="118"/>
      <c r="AB375" s="103"/>
      <c r="AC375" s="103"/>
      <c r="AD375" s="100">
        <v>17304.843930001643</v>
      </c>
      <c r="AE375" s="98"/>
      <c r="AF375" s="8" t="str">
        <f t="array" ref="AF375">_xlfn.XLOOKUP($G375,'AP Plants'!D:D,'AP Plants'!B:B)</f>
        <v>Class 5 NOT BT</v>
      </c>
      <c r="AG375" s="102">
        <f>AD375*'Currency &amp; Conversion'!$L$6</f>
        <v>25770.373580558447</v>
      </c>
      <c r="AH375" s="102"/>
      <c r="AI375" s="44">
        <v>1.4999999999999999E-2</v>
      </c>
      <c r="AJ375" s="15">
        <f>_xlfn.XLOOKUP($AF375,Warranty!B:B,Warranty!E:E)</f>
        <v>5.0000000000000001E-3</v>
      </c>
      <c r="AK375" s="8">
        <f>IF($I375="AUD",VLOOKUP(RIGHT('Wk - Margins'!$G375,3),'AU Freight'!C:G,5,0),0)</f>
        <v>2130</v>
      </c>
      <c r="AL375" s="15">
        <f t="shared" si="127"/>
        <v>0</v>
      </c>
      <c r="AM375" s="61">
        <f t="shared" si="128"/>
        <v>28415.781052169612</v>
      </c>
      <c r="AN375" s="63">
        <f t="shared" si="131"/>
        <v>0.11357401555937852</v>
      </c>
      <c r="AQ375" s="147"/>
    </row>
    <row r="376" spans="1:43">
      <c r="A376" s="10" t="str">
        <f>'Input - Bookings'!A376</f>
        <v>10-25</v>
      </c>
      <c r="B376" s="11" t="str">
        <f>'Input - Bookings'!C376</f>
        <v>P</v>
      </c>
      <c r="C376" s="11" t="str">
        <f>'Input - Bookings'!H376</f>
        <v>AU</v>
      </c>
      <c r="D376" s="24" t="str">
        <f>'Input - Bookings'!E376</f>
        <v>065</v>
      </c>
      <c r="E376" s="24" t="str">
        <f>'Input - Bookings'!G376</f>
        <v>ADAPT-A-LIFT GROUP (VIC)</v>
      </c>
      <c r="F376" s="24" t="str">
        <f>'Input - Bookings'!I376</f>
        <v>H67853</v>
      </c>
      <c r="G376" s="24" t="str">
        <f>'Input - Bookings'!L376</f>
        <v>D466</v>
      </c>
      <c r="H376" s="24" t="str">
        <f>'Input - Bookings'!M376</f>
        <v>H3.5XT</v>
      </c>
      <c r="I376" s="24" t="str">
        <f>'Input - Bookings'!B376</f>
        <v>AUD</v>
      </c>
      <c r="J376" s="13" t="str">
        <f>IF(I376="USD",INDEX('AP Plants'!A:A,MATCH(G376,'AP Plants'!D:D,0)),INDEX('Australia Plants'!A:A,MATCH(G376,'Australia Plants'!D:D,0)))</f>
        <v>SN</v>
      </c>
      <c r="K376" s="73">
        <v>1</v>
      </c>
      <c r="L376" s="97">
        <v>50115</v>
      </c>
      <c r="M376" s="97">
        <v>37070.675000000003</v>
      </c>
      <c r="N376" s="99">
        <v>0.12957344270084459</v>
      </c>
      <c r="O376" s="25">
        <f t="shared" si="130"/>
        <v>0.26028783797266286</v>
      </c>
      <c r="P376" s="14">
        <f>IFERROR(IF(OR(B376&amp;C376="PAU",B376&amp;C376="AIN"),VLOOKUP(B376&amp;C376&amp;G376,#REF!,8,0),VLOOKUP(B376&amp;G376,#REF!,8,0)),0)</f>
        <v>0</v>
      </c>
      <c r="Q376" s="15">
        <f t="shared" si="123"/>
        <v>0.12957344270084459</v>
      </c>
      <c r="R376" s="16" t="str">
        <f t="shared" si="124"/>
        <v>AOP</v>
      </c>
      <c r="S376" s="17">
        <f t="shared" si="116"/>
        <v>4803.3749829941326</v>
      </c>
      <c r="T376" s="18" t="e">
        <f t="shared" si="125"/>
        <v>#DIV/0!</v>
      </c>
      <c r="U376" s="23" t="e">
        <f t="shared" si="113"/>
        <v>#DIV/0!</v>
      </c>
      <c r="Y376" s="8" t="str">
        <f t="shared" si="126"/>
        <v>PAUH67853H3.5XT</v>
      </c>
      <c r="Z376" s="8" t="str">
        <f>IF(Y376='Input - Bookings'!Q609,"OK","Check")</f>
        <v>Check</v>
      </c>
      <c r="AA376" s="118"/>
      <c r="AB376" s="103"/>
      <c r="AC376" s="103"/>
      <c r="AD376" s="100">
        <v>19840.43282681442</v>
      </c>
      <c r="AE376" s="98"/>
      <c r="AF376" s="8" t="str">
        <f t="array" ref="AF376">_xlfn.XLOOKUP($G376,'AP Plants'!D:D,'AP Plants'!B:B)</f>
        <v>Class 5 NOT BT</v>
      </c>
      <c r="AG376" s="102">
        <f>AD376*'Currency &amp; Conversion'!$L$6</f>
        <v>29546.372565692036</v>
      </c>
      <c r="AH376" s="102"/>
      <c r="AI376" s="44">
        <v>1.4999999999999999E-2</v>
      </c>
      <c r="AJ376" s="15">
        <f>_xlfn.XLOOKUP($AF376,Warranty!B:B,Warranty!E:E)</f>
        <v>5.0000000000000001E-3</v>
      </c>
      <c r="AK376" s="8">
        <f>IF($I376="AUD",VLOOKUP(RIGHT('Wk - Margins'!$G376,3),'AU Freight'!C:G,5,0),0)</f>
        <v>2130</v>
      </c>
      <c r="AL376" s="15">
        <f t="shared" si="127"/>
        <v>0</v>
      </c>
      <c r="AM376" s="61">
        <f t="shared" si="128"/>
        <v>32267.300017005869</v>
      </c>
      <c r="AN376" s="63">
        <f t="shared" si="131"/>
        <v>0.12957344270084459</v>
      </c>
      <c r="AQ376" s="147"/>
    </row>
    <row r="377" spans="1:43">
      <c r="A377" s="10" t="str">
        <f>'Input - Bookings'!A377</f>
        <v>10-25</v>
      </c>
      <c r="B377" s="11" t="str">
        <f>'Input - Bookings'!C377</f>
        <v>P</v>
      </c>
      <c r="C377" s="11" t="str">
        <f>'Input - Bookings'!H377</f>
        <v>AU</v>
      </c>
      <c r="D377" s="24" t="str">
        <f>'Input - Bookings'!E377</f>
        <v>065</v>
      </c>
      <c r="E377" s="24" t="str">
        <f>'Input - Bookings'!G377</f>
        <v>ADAPT-A-LIFT GROUP (VIC)</v>
      </c>
      <c r="F377" s="146" t="str">
        <f>'Input - Bookings'!I377</f>
        <v>H67854</v>
      </c>
      <c r="G377" s="24" t="str">
        <f>'Input - Bookings'!L377</f>
        <v>A3C4</v>
      </c>
      <c r="H377" s="24" t="str">
        <f>'Input - Bookings'!M377</f>
        <v>J2.5UT</v>
      </c>
      <c r="I377" s="24" t="str">
        <f>'Input - Bookings'!B377</f>
        <v>AUD</v>
      </c>
      <c r="J377" s="13" t="str">
        <f>IF(I377="USD",INDEX('AP Plants'!A:A,MATCH(G377,'AP Plants'!D:D,0)),INDEX('Australia Plants'!A:A,MATCH(G377,'Australia Plants'!D:D,0)))</f>
        <v>Maximal</v>
      </c>
      <c r="K377" s="73">
        <v>1</v>
      </c>
      <c r="L377" s="97">
        <v>38485</v>
      </c>
      <c r="M377" s="97">
        <v>29885.95</v>
      </c>
      <c r="N377" s="99">
        <v>0.15791713966656906</v>
      </c>
      <c r="O377" s="25">
        <f t="shared" si="130"/>
        <v>0.22343900220865265</v>
      </c>
      <c r="P377" s="14">
        <f>IFERROR(IF(OR(B377&amp;C377="PAU",B377&amp;C377="AIN"),VLOOKUP(B377&amp;C377&amp;G377,#REF!,8,0),VLOOKUP(B377&amp;G377,#REF!,8,0)),0)</f>
        <v>0</v>
      </c>
      <c r="Q377" s="15">
        <f t="shared" si="123"/>
        <v>0.15791713966656906</v>
      </c>
      <c r="R377" s="16" t="str">
        <f t="shared" si="124"/>
        <v>AOP</v>
      </c>
      <c r="S377" s="17">
        <f t="shared" si="116"/>
        <v>4719.5037402180997</v>
      </c>
      <c r="T377" s="18" t="e">
        <f t="shared" si="125"/>
        <v>#DIV/0!</v>
      </c>
      <c r="U377" s="23" t="e">
        <f t="shared" si="113"/>
        <v>#DIV/0!</v>
      </c>
      <c r="Y377" s="8" t="str">
        <f t="shared" si="126"/>
        <v>PAUH67854J2.5UT</v>
      </c>
      <c r="Z377" s="8" t="str">
        <f>IF(Y377='Input - Bookings'!Q610,"OK","Check")</f>
        <v>Check</v>
      </c>
      <c r="AA377" s="118"/>
      <c r="AB377" s="103"/>
      <c r="AC377" s="103"/>
      <c r="AD377" s="100">
        <f>15051.2773404999+200</f>
        <v>15251.277340499901</v>
      </c>
      <c r="AE377" s="98"/>
      <c r="AF377" s="8" t="str">
        <f t="array" ref="AF377">_xlfn.XLOOKUP($G377,'AP Plants'!D:D,'AP Plants'!B:B)</f>
        <v>Class 1</v>
      </c>
      <c r="AG377" s="102">
        <f>AD377*'Currency &amp; Conversion'!$L$6</f>
        <v>22712.202215472455</v>
      </c>
      <c r="AH377" s="102"/>
      <c r="AI377" s="44">
        <v>1.4999999999999999E-2</v>
      </c>
      <c r="AJ377" s="15">
        <f>_xlfn.XLOOKUP($AF377,Warranty!B:B,Warranty!E:E)</f>
        <v>5.0000000000000001E-3</v>
      </c>
      <c r="AK377" s="8">
        <f>IF($I377="AUD",VLOOKUP(RIGHT('Wk - Margins'!$G377,3),'AU Freight'!C:G,5,0),0)</f>
        <v>2000</v>
      </c>
      <c r="AL377" s="15">
        <f t="shared" si="127"/>
        <v>0</v>
      </c>
      <c r="AM377" s="61">
        <f t="shared" si="128"/>
        <v>25166.4462597819</v>
      </c>
      <c r="AN377" s="63">
        <f t="shared" si="131"/>
        <v>0.15791713966656906</v>
      </c>
      <c r="AQ377" s="147"/>
    </row>
    <row r="378" spans="1:43">
      <c r="A378" s="10" t="str">
        <f>'Input - Bookings'!A378</f>
        <v>10-25</v>
      </c>
      <c r="B378" s="11" t="str">
        <f>'Input - Bookings'!C378</f>
        <v>P</v>
      </c>
      <c r="C378" s="11" t="str">
        <f>'Input - Bookings'!H378</f>
        <v>AU</v>
      </c>
      <c r="D378" s="24" t="str">
        <f>'Input - Bookings'!E378</f>
        <v>065</v>
      </c>
      <c r="E378" s="24" t="str">
        <f>'Input - Bookings'!G378</f>
        <v>ADAPT-A-LIFT GROUP (VIC)</v>
      </c>
      <c r="F378" s="146" t="str">
        <f>'Input - Bookings'!I378</f>
        <v>H67855</v>
      </c>
      <c r="G378" s="24" t="str">
        <f>'Input - Bookings'!L378</f>
        <v>A3C4</v>
      </c>
      <c r="H378" s="24" t="str">
        <f>'Input - Bookings'!M378</f>
        <v>J2.5UT</v>
      </c>
      <c r="I378" s="24" t="str">
        <f>'Input - Bookings'!B378</f>
        <v>AUD</v>
      </c>
      <c r="J378" s="13" t="str">
        <f>IF(I378="USD",INDEX('AP Plants'!A:A,MATCH(G378,'AP Plants'!D:D,0)),INDEX('Australia Plants'!A:A,MATCH(G378,'Australia Plants'!D:D,0)))</f>
        <v>Maximal</v>
      </c>
      <c r="K378" s="73">
        <v>1</v>
      </c>
      <c r="L378" s="97">
        <v>38485</v>
      </c>
      <c r="M378" s="97">
        <v>29885.95</v>
      </c>
      <c r="N378" s="99">
        <v>0.15791713966656906</v>
      </c>
      <c r="O378" s="25">
        <f t="shared" si="130"/>
        <v>0.22343900220865265</v>
      </c>
      <c r="P378" s="14">
        <f>IFERROR(IF(OR(B378&amp;C378="PAU",B378&amp;C378="AIN"),VLOOKUP(B378&amp;C378&amp;G378,#REF!,8,0),VLOOKUP(B378&amp;G378,#REF!,8,0)),0)</f>
        <v>0</v>
      </c>
      <c r="Q378" s="15">
        <f t="shared" si="123"/>
        <v>0.15791713966656906</v>
      </c>
      <c r="R378" s="16" t="str">
        <f t="shared" si="124"/>
        <v>AOP</v>
      </c>
      <c r="S378" s="17">
        <f t="shared" si="116"/>
        <v>4719.5037402180997</v>
      </c>
      <c r="T378" s="18" t="e">
        <f t="shared" si="125"/>
        <v>#DIV/0!</v>
      </c>
      <c r="U378" s="23" t="e">
        <f t="shared" si="113"/>
        <v>#DIV/0!</v>
      </c>
      <c r="Y378" s="8" t="str">
        <f t="shared" si="126"/>
        <v>PAUH67855J2.5UT</v>
      </c>
      <c r="Z378" s="8" t="str">
        <f>IF(Y378='Input - Bookings'!Q611,"OK","Check")</f>
        <v>Check</v>
      </c>
      <c r="AA378" s="118"/>
      <c r="AB378" s="103"/>
      <c r="AC378" s="103"/>
      <c r="AD378" s="100">
        <f>15051.2773404999+200</f>
        <v>15251.277340499901</v>
      </c>
      <c r="AE378" s="98"/>
      <c r="AF378" s="8" t="str">
        <f t="array" ref="AF378">_xlfn.XLOOKUP($G378,'AP Plants'!D:D,'AP Plants'!B:B)</f>
        <v>Class 1</v>
      </c>
      <c r="AG378" s="102">
        <f>AD378*'Currency &amp; Conversion'!$L$6</f>
        <v>22712.202215472455</v>
      </c>
      <c r="AH378" s="102"/>
      <c r="AI378" s="44">
        <v>1.4999999999999999E-2</v>
      </c>
      <c r="AJ378" s="15">
        <f>_xlfn.XLOOKUP($AF378,Warranty!B:B,Warranty!E:E)</f>
        <v>5.0000000000000001E-3</v>
      </c>
      <c r="AK378" s="8">
        <f>IF($I378="AUD",VLOOKUP(RIGHT('Wk - Margins'!$G378,3),'AU Freight'!C:G,5,0),0)</f>
        <v>2000</v>
      </c>
      <c r="AL378" s="15">
        <f t="shared" si="127"/>
        <v>0</v>
      </c>
      <c r="AM378" s="61">
        <f t="shared" si="128"/>
        <v>25166.4462597819</v>
      </c>
      <c r="AN378" s="63">
        <f t="shared" si="131"/>
        <v>0.15791713966656906</v>
      </c>
      <c r="AQ378" s="147"/>
    </row>
    <row r="379" spans="1:43">
      <c r="A379" s="10" t="str">
        <f>'Input - Bookings'!A379</f>
        <v>10-25</v>
      </c>
      <c r="B379" s="11" t="str">
        <f>'Input - Bookings'!C379</f>
        <v>P</v>
      </c>
      <c r="C379" s="11" t="str">
        <f>'Input - Bookings'!H379</f>
        <v>AU</v>
      </c>
      <c r="D379" s="24" t="str">
        <f>'Input - Bookings'!E379</f>
        <v>065</v>
      </c>
      <c r="E379" s="24" t="str">
        <f>'Input - Bookings'!G379</f>
        <v>ADAPT-A-LIFT GROUP (VIC)</v>
      </c>
      <c r="F379" s="146" t="str">
        <f>'Input - Bookings'!I379</f>
        <v>H67856</v>
      </c>
      <c r="G379" s="24" t="str">
        <f>'Input - Bookings'!L379</f>
        <v>A3C4</v>
      </c>
      <c r="H379" s="24" t="str">
        <f>'Input - Bookings'!M379</f>
        <v>J1.8UT</v>
      </c>
      <c r="I379" s="24" t="str">
        <f>'Input - Bookings'!B379</f>
        <v>AUD</v>
      </c>
      <c r="J379" s="13" t="str">
        <f>IF(I379="USD",INDEX('AP Plants'!A:A,MATCH(G379,'AP Plants'!D:D,0)),INDEX('Australia Plants'!A:A,MATCH(G379,'Australia Plants'!D:D,0)))</f>
        <v>Maximal</v>
      </c>
      <c r="K379" s="73">
        <v>1</v>
      </c>
      <c r="L379" s="97">
        <v>33773</v>
      </c>
      <c r="M379" s="97">
        <v>26949.3</v>
      </c>
      <c r="N379" s="99">
        <v>0.1553925587639442</v>
      </c>
      <c r="O379" s="25">
        <f t="shared" si="130"/>
        <v>0.20204601308737746</v>
      </c>
      <c r="P379" s="14">
        <f>IFERROR(IF(OR(B379&amp;C379="PAU",B379&amp;C379="AIN"),VLOOKUP(B379&amp;C379&amp;G379,#REF!,8,0),VLOOKUP(B379&amp;G379,#REF!,8,0)),0)</f>
        <v>0</v>
      </c>
      <c r="Q379" s="15">
        <f t="shared" si="123"/>
        <v>0.1553925587639442</v>
      </c>
      <c r="R379" s="16" t="str">
        <f t="shared" si="124"/>
        <v>AOP</v>
      </c>
      <c r="S379" s="17">
        <f t="shared" si="116"/>
        <v>4187.7206838971615</v>
      </c>
      <c r="T379" s="18" t="e">
        <f t="shared" si="125"/>
        <v>#DIV/0!</v>
      </c>
      <c r="U379" s="23" t="e">
        <f t="shared" si="113"/>
        <v>#DIV/0!</v>
      </c>
      <c r="Y379" s="8" t="str">
        <f t="shared" si="126"/>
        <v>PAUH67856J1.8UT</v>
      </c>
      <c r="Z379" s="8" t="str">
        <f>IF(Y379='Input - Bookings'!Q612,"OK","Check")</f>
        <v>Check</v>
      </c>
      <c r="AA379" s="118"/>
      <c r="AB379" s="103"/>
      <c r="AC379" s="103"/>
      <c r="AD379" s="100">
        <f>13468.0697861879+200</f>
        <v>13668.0697861879</v>
      </c>
      <c r="AE379" s="98"/>
      <c r="AF379" s="8" t="str">
        <f t="array" ref="AF379">_xlfn.XLOOKUP($G379,'AP Plants'!D:D,'AP Plants'!B:B)</f>
        <v>Class 1</v>
      </c>
      <c r="AG379" s="102">
        <f>AD379*'Currency &amp; Conversion'!$L$6</f>
        <v>20354.489525591023</v>
      </c>
      <c r="AH379" s="102"/>
      <c r="AI379" s="44">
        <v>1.4999999999999999E-2</v>
      </c>
      <c r="AJ379" s="15">
        <f>_xlfn.XLOOKUP($AF379,Warranty!B:B,Warranty!E:E)</f>
        <v>5.0000000000000001E-3</v>
      </c>
      <c r="AK379" s="8">
        <f>IF($I379="AUD",VLOOKUP(RIGHT('Wk - Margins'!$G379,3),'AU Freight'!C:G,5,0),0)</f>
        <v>2000</v>
      </c>
      <c r="AL379" s="15">
        <f t="shared" si="127"/>
        <v>0</v>
      </c>
      <c r="AM379" s="61">
        <f t="shared" si="128"/>
        <v>22761.579316102838</v>
      </c>
      <c r="AN379" s="63">
        <f t="shared" si="131"/>
        <v>0.1553925587639442</v>
      </c>
      <c r="AQ379" s="147"/>
    </row>
    <row r="380" spans="1:43">
      <c r="A380" s="10" t="str">
        <f>'Input - Bookings'!A380</f>
        <v>10-25</v>
      </c>
      <c r="B380" s="11" t="str">
        <f>'Input - Bookings'!C380</f>
        <v>P</v>
      </c>
      <c r="C380" s="11" t="str">
        <f>'Input - Bookings'!H380</f>
        <v>AU</v>
      </c>
      <c r="D380" s="24" t="str">
        <f>'Input - Bookings'!E380</f>
        <v>065</v>
      </c>
      <c r="E380" s="24" t="str">
        <f>'Input - Bookings'!G380</f>
        <v>ADAPT-A-LIFT GROUP (VIC)</v>
      </c>
      <c r="F380" s="146" t="str">
        <f>'Input - Bookings'!I380</f>
        <v>H67857</v>
      </c>
      <c r="G380" s="24" t="str">
        <f>'Input - Bookings'!L380</f>
        <v>A3C4</v>
      </c>
      <c r="H380" s="24" t="str">
        <f>'Input - Bookings'!M380</f>
        <v>J1.8UT</v>
      </c>
      <c r="I380" s="24" t="str">
        <f>'Input - Bookings'!B380</f>
        <v>AUD</v>
      </c>
      <c r="J380" s="13" t="str">
        <f>IF(I380="USD",INDEX('AP Plants'!A:A,MATCH(G380,'AP Plants'!D:D,0)),INDEX('Australia Plants'!A:A,MATCH(G380,'Australia Plants'!D:D,0)))</f>
        <v>Maximal</v>
      </c>
      <c r="K380" s="73">
        <v>1</v>
      </c>
      <c r="L380" s="97">
        <v>33773</v>
      </c>
      <c r="M380" s="97">
        <v>26949.3</v>
      </c>
      <c r="N380" s="99">
        <v>0.1553925587639442</v>
      </c>
      <c r="O380" s="25">
        <f t="shared" si="130"/>
        <v>0.20204601308737746</v>
      </c>
      <c r="P380" s="14">
        <f>IFERROR(IF(OR(B380&amp;C380="PAU",B380&amp;C380="AIN"),VLOOKUP(B380&amp;C380&amp;G380,#REF!,8,0),VLOOKUP(B380&amp;G380,#REF!,8,0)),0)</f>
        <v>0</v>
      </c>
      <c r="Q380" s="15">
        <f t="shared" si="123"/>
        <v>0.1553925587639442</v>
      </c>
      <c r="R380" s="16" t="str">
        <f t="shared" si="124"/>
        <v>AOP</v>
      </c>
      <c r="S380" s="17">
        <f t="shared" si="116"/>
        <v>4187.7206838971615</v>
      </c>
      <c r="T380" s="18" t="e">
        <f t="shared" si="125"/>
        <v>#DIV/0!</v>
      </c>
      <c r="U380" s="23" t="e">
        <f t="shared" si="113"/>
        <v>#DIV/0!</v>
      </c>
      <c r="Y380" s="8" t="str">
        <f t="shared" si="126"/>
        <v>PAUH67857J1.8UT</v>
      </c>
      <c r="Z380" s="8" t="str">
        <f>IF(Y380='Input - Bookings'!Q613,"OK","Check")</f>
        <v>Check</v>
      </c>
      <c r="AA380" s="118"/>
      <c r="AB380" s="103"/>
      <c r="AC380" s="103"/>
      <c r="AD380" s="100">
        <f>13468.0697861879+200</f>
        <v>13668.0697861879</v>
      </c>
      <c r="AE380" s="98"/>
      <c r="AF380" s="8" t="str">
        <f t="array" ref="AF380">_xlfn.XLOOKUP($G380,'AP Plants'!D:D,'AP Plants'!B:B)</f>
        <v>Class 1</v>
      </c>
      <c r="AG380" s="102">
        <f>AD380*'Currency &amp; Conversion'!$L$6</f>
        <v>20354.489525591023</v>
      </c>
      <c r="AH380" s="102"/>
      <c r="AI380" s="44">
        <v>1.4999999999999999E-2</v>
      </c>
      <c r="AJ380" s="15">
        <f>_xlfn.XLOOKUP($AF380,Warranty!B:B,Warranty!E:E)</f>
        <v>5.0000000000000001E-3</v>
      </c>
      <c r="AK380" s="8">
        <f>IF($I380="AUD",VLOOKUP(RIGHT('Wk - Margins'!$G380,3),'AU Freight'!C:G,5,0),0)</f>
        <v>2000</v>
      </c>
      <c r="AL380" s="15">
        <f t="shared" si="127"/>
        <v>0</v>
      </c>
      <c r="AM380" s="61">
        <f t="shared" si="128"/>
        <v>22761.579316102838</v>
      </c>
      <c r="AN380" s="63">
        <f t="shared" si="131"/>
        <v>0.1553925587639442</v>
      </c>
      <c r="AQ380" s="147"/>
    </row>
    <row r="381" spans="1:43">
      <c r="A381" s="10" t="str">
        <f>'Input - Bookings'!A381</f>
        <v>10-25</v>
      </c>
      <c r="B381" s="11" t="str">
        <f>'Input - Bookings'!C381</f>
        <v>P</v>
      </c>
      <c r="C381" s="11" t="str">
        <f>'Input - Bookings'!H381</f>
        <v>AU</v>
      </c>
      <c r="D381" s="24" t="str">
        <f>'Input - Bookings'!E381</f>
        <v>065</v>
      </c>
      <c r="E381" s="24" t="str">
        <f>'Input - Bookings'!G381</f>
        <v>ADAPT-A-LIFT GROUP (VIC)</v>
      </c>
      <c r="F381" s="146" t="str">
        <f>'Input - Bookings'!I381</f>
        <v>H67858</v>
      </c>
      <c r="G381" s="24" t="str">
        <f>'Input - Bookings'!L381</f>
        <v>A3C5</v>
      </c>
      <c r="H381" s="24" t="str">
        <f>'Input - Bookings'!M381</f>
        <v>J2.0UTT</v>
      </c>
      <c r="I381" s="24" t="str">
        <f>'Input - Bookings'!B381</f>
        <v>AUD</v>
      </c>
      <c r="J381" s="13" t="str">
        <f>IF(I381="USD",INDEX('AP Plants'!A:A,MATCH(G381,'AP Plants'!D:D,0)),INDEX('Australia Plants'!A:A,MATCH(G381,'Australia Plants'!D:D,0)))</f>
        <v>Maximal</v>
      </c>
      <c r="K381" s="73">
        <v>1</v>
      </c>
      <c r="L381" s="97">
        <v>39686</v>
      </c>
      <c r="M381" s="97">
        <v>30868</v>
      </c>
      <c r="N381" s="99">
        <v>0.17542635737588264</v>
      </c>
      <c r="O381" s="25">
        <f t="shared" si="130"/>
        <v>0.22219422466360939</v>
      </c>
      <c r="P381" s="14">
        <f>IFERROR(IF(OR(B381&amp;C381="PAU",B381&amp;C381="AIN"),VLOOKUP(B381&amp;C381&amp;G381,#REF!,8,0),VLOOKUP(B381&amp;G381,#REF!,8,0)),0)</f>
        <v>0</v>
      </c>
      <c r="Q381" s="15">
        <f t="shared" si="123"/>
        <v>0.17542635737588264</v>
      </c>
      <c r="R381" s="16" t="str">
        <f t="shared" si="124"/>
        <v>AOP</v>
      </c>
      <c r="S381" s="17">
        <f t="shared" si="116"/>
        <v>5415.0607994787451</v>
      </c>
      <c r="T381" s="18" t="e">
        <f t="shared" si="125"/>
        <v>#DIV/0!</v>
      </c>
      <c r="U381" s="23" t="e">
        <f t="shared" si="113"/>
        <v>#DIV/0!</v>
      </c>
      <c r="Y381" s="8" t="str">
        <f t="shared" si="126"/>
        <v>PAUH67858J2.0UTT</v>
      </c>
      <c r="Z381" s="8" t="str">
        <f>IF(Y381='Input - Bookings'!Q614,"OK","Check")</f>
        <v>Check</v>
      </c>
      <c r="AA381" s="118"/>
      <c r="AB381" s="103"/>
      <c r="AC381" s="103"/>
      <c r="AD381" s="100">
        <f>15239.8856080915+200</f>
        <v>15439.885608091499</v>
      </c>
      <c r="AE381" s="98"/>
      <c r="AF381" s="8" t="str">
        <f t="array" ref="AF381">_xlfn.XLOOKUP($G381,'AP Plants'!D:D,'AP Plants'!B:B)</f>
        <v>Class 1</v>
      </c>
      <c r="AG381" s="102">
        <f>AD381*'Currency &amp; Conversion'!$L$6</f>
        <v>22993.077647569862</v>
      </c>
      <c r="AH381" s="102"/>
      <c r="AI381" s="44">
        <v>1.4999999999999999E-2</v>
      </c>
      <c r="AJ381" s="15">
        <f>_xlfn.XLOOKUP($AF381,Warranty!B:B,Warranty!E:E)</f>
        <v>5.0000000000000001E-3</v>
      </c>
      <c r="AK381" s="8">
        <f>IF($I381="AUD",VLOOKUP(RIGHT('Wk - Margins'!$G381,3),'AU Freight'!C:G,5,0),0)</f>
        <v>2000</v>
      </c>
      <c r="AL381" s="15">
        <f t="shared" si="127"/>
        <v>0</v>
      </c>
      <c r="AM381" s="61">
        <f t="shared" si="128"/>
        <v>25452.939200521254</v>
      </c>
      <c r="AN381" s="63">
        <f t="shared" si="131"/>
        <v>0.17542635737588264</v>
      </c>
      <c r="AQ381" s="147"/>
    </row>
    <row r="382" spans="1:43">
      <c r="A382" s="10" t="str">
        <f>'Input - Bookings'!A382</f>
        <v>10-25</v>
      </c>
      <c r="B382" s="11" t="str">
        <f>'Input - Bookings'!C382</f>
        <v>P</v>
      </c>
      <c r="C382" s="11" t="str">
        <f>'Input - Bookings'!H382</f>
        <v>AU</v>
      </c>
      <c r="D382" s="24" t="str">
        <f>'Input - Bookings'!E382</f>
        <v>065</v>
      </c>
      <c r="E382" s="24" t="str">
        <f>'Input - Bookings'!G382</f>
        <v>ADAPT-A-LIFT GROUP (VIC)</v>
      </c>
      <c r="F382" s="146" t="str">
        <f>'Input - Bookings'!I382</f>
        <v>H67859</v>
      </c>
      <c r="G382" s="24" t="str">
        <f>'Input - Bookings'!L382</f>
        <v>A3C5</v>
      </c>
      <c r="H382" s="24" t="str">
        <f>'Input - Bookings'!M382</f>
        <v>J2.0UTT</v>
      </c>
      <c r="I382" s="24" t="str">
        <f>'Input - Bookings'!B382</f>
        <v>AUD</v>
      </c>
      <c r="J382" s="13" t="str">
        <f>IF(I382="USD",INDEX('AP Plants'!A:A,MATCH(G382,'AP Plants'!D:D,0)),INDEX('Australia Plants'!A:A,MATCH(G382,'Australia Plants'!D:D,0)))</f>
        <v>Maximal</v>
      </c>
      <c r="K382" s="73">
        <v>1</v>
      </c>
      <c r="L382" s="97">
        <v>39686</v>
      </c>
      <c r="M382" s="97">
        <v>30868</v>
      </c>
      <c r="N382" s="99">
        <v>0.17542635737588264</v>
      </c>
      <c r="O382" s="25">
        <f t="shared" si="130"/>
        <v>0.22219422466360939</v>
      </c>
      <c r="P382" s="14">
        <f>IFERROR(IF(OR(B382&amp;C382="PAU",B382&amp;C382="AIN"),VLOOKUP(B382&amp;C382&amp;G382,#REF!,8,0),VLOOKUP(B382&amp;G382,#REF!,8,0)),0)</f>
        <v>0</v>
      </c>
      <c r="Q382" s="15">
        <f t="shared" si="123"/>
        <v>0.17542635737588264</v>
      </c>
      <c r="R382" s="16" t="str">
        <f t="shared" si="124"/>
        <v>AOP</v>
      </c>
      <c r="S382" s="17">
        <f t="shared" si="116"/>
        <v>5415.0607994787451</v>
      </c>
      <c r="T382" s="18" t="e">
        <f t="shared" si="125"/>
        <v>#DIV/0!</v>
      </c>
      <c r="U382" s="23" t="e">
        <f t="shared" si="113"/>
        <v>#DIV/0!</v>
      </c>
      <c r="Y382" s="8" t="str">
        <f t="shared" si="126"/>
        <v>PAUH67859J2.0UTT</v>
      </c>
      <c r="Z382" s="8" t="str">
        <f>IF(Y382='Input - Bookings'!Q615,"OK","Check")</f>
        <v>Check</v>
      </c>
      <c r="AA382" s="118"/>
      <c r="AB382" s="103"/>
      <c r="AC382" s="103"/>
      <c r="AD382" s="100">
        <f>15239.8856080915+200</f>
        <v>15439.885608091499</v>
      </c>
      <c r="AE382" s="98"/>
      <c r="AF382" s="8" t="str">
        <f t="array" ref="AF382">_xlfn.XLOOKUP($G382,'AP Plants'!D:D,'AP Plants'!B:B)</f>
        <v>Class 1</v>
      </c>
      <c r="AG382" s="102">
        <f>AD382*'Currency &amp; Conversion'!$L$6</f>
        <v>22993.077647569862</v>
      </c>
      <c r="AH382" s="102"/>
      <c r="AI382" s="44">
        <v>1.4999999999999999E-2</v>
      </c>
      <c r="AJ382" s="15">
        <f>_xlfn.XLOOKUP($AF382,Warranty!B:B,Warranty!E:E)</f>
        <v>5.0000000000000001E-3</v>
      </c>
      <c r="AK382" s="8">
        <f>IF($I382="AUD",VLOOKUP(RIGHT('Wk - Margins'!$G382,3),'AU Freight'!C:G,5,0),0)</f>
        <v>2000</v>
      </c>
      <c r="AL382" s="15">
        <f t="shared" si="127"/>
        <v>0</v>
      </c>
      <c r="AM382" s="61">
        <f t="shared" si="128"/>
        <v>25452.939200521254</v>
      </c>
      <c r="AN382" s="63">
        <f t="shared" si="131"/>
        <v>0.17542635737588264</v>
      </c>
      <c r="AQ382" s="147"/>
    </row>
    <row r="383" spans="1:43">
      <c r="A383" s="10" t="str">
        <f>'Input - Bookings'!A383</f>
        <v>10-26</v>
      </c>
      <c r="B383" s="11" t="str">
        <f>'Input - Bookings'!C383</f>
        <v>P</v>
      </c>
      <c r="C383" s="11" t="str">
        <f>'Input - Bookings'!H383</f>
        <v>AU</v>
      </c>
      <c r="D383" s="24" t="str">
        <f>'Input - Bookings'!E383</f>
        <v>065</v>
      </c>
      <c r="E383" s="24" t="str">
        <f>'Input - Bookings'!G383</f>
        <v>ADAPT-A-LIFT GROUP (QLD)</v>
      </c>
      <c r="F383" s="24" t="str">
        <f>'Input - Bookings'!I383</f>
        <v>H68227</v>
      </c>
      <c r="G383" s="24" t="str">
        <f>'Input - Bookings'!L383</f>
        <v>D466</v>
      </c>
      <c r="H383" s="24" t="str">
        <f>'Input - Bookings'!M383</f>
        <v>H3.5XT</v>
      </c>
      <c r="I383" s="24" t="str">
        <f>'Input - Bookings'!B383</f>
        <v>AUD</v>
      </c>
      <c r="J383" s="13" t="str">
        <f>IF(I383="USD",INDEX('AP Plants'!A:A,MATCH(G383,'AP Plants'!D:D,0)),INDEX('Australia Plants'!A:A,MATCH(G383,'Australia Plants'!D:D,0)))</f>
        <v>SN</v>
      </c>
      <c r="K383" s="73">
        <v>1</v>
      </c>
      <c r="L383" s="97">
        <v>42360</v>
      </c>
      <c r="M383" s="97">
        <v>35822.1</v>
      </c>
      <c r="N383" s="99">
        <v>0.1091413571392561</v>
      </c>
      <c r="O383" s="25">
        <f t="shared" si="130"/>
        <v>0.15434135977337116</v>
      </c>
      <c r="P383" s="14">
        <f>IFERROR(IF(OR(B383&amp;C383="PAU",B383&amp;C383="AIN"),VLOOKUP(B383&amp;C383&amp;G383,#REF!,8,0),VLOOKUP(B383&amp;G383,#REF!,8,0)),0)</f>
        <v>0</v>
      </c>
      <c r="Q383" s="15">
        <f t="shared" si="123"/>
        <v>0.1091413571392561</v>
      </c>
      <c r="R383" s="16" t="str">
        <f t="shared" si="124"/>
        <v>AOP</v>
      </c>
      <c r="S383" s="17">
        <f t="shared" si="116"/>
        <v>3909.672609578146</v>
      </c>
      <c r="T383" s="18" t="e">
        <f t="shared" si="125"/>
        <v>#DIV/0!</v>
      </c>
      <c r="U383" s="23" t="e">
        <f t="shared" si="113"/>
        <v>#DIV/0!</v>
      </c>
      <c r="Y383" s="8" t="str">
        <f t="shared" si="126"/>
        <v>PAUH68227H3.5XT</v>
      </c>
      <c r="Z383" s="8" t="str">
        <f>IF(Y383='Input - Bookings'!Q616,"OK","Check")</f>
        <v>Check</v>
      </c>
      <c r="AA383" s="118"/>
      <c r="AB383" s="103"/>
      <c r="AC383" s="103"/>
      <c r="AD383" s="100">
        <v>19606.807833671624</v>
      </c>
      <c r="AE383" s="98"/>
      <c r="AF383" s="8" t="str">
        <f t="array" ref="AF383">_xlfn.XLOOKUP($G383,'AP Plants'!D:D,'AP Plants'!B:B)</f>
        <v>Class 5 NOT BT</v>
      </c>
      <c r="AG383" s="102">
        <f>AD383*'Currency &amp; Conversion'!$L$6</f>
        <v>29198.458225903785</v>
      </c>
      <c r="AH383" s="102"/>
      <c r="AI383" s="44">
        <v>1.4999999999999999E-2</v>
      </c>
      <c r="AJ383" s="15">
        <f>_xlfn.XLOOKUP($AF383,Warranty!B:B,Warranty!E:E)</f>
        <v>5.0000000000000001E-3</v>
      </c>
      <c r="AK383" s="8">
        <f>IF($I383="AUD",VLOOKUP(RIGHT('Wk - Margins'!$G383,3),'AU Freight'!C:G,5,0),0)</f>
        <v>2130</v>
      </c>
      <c r="AL383" s="15">
        <f t="shared" si="127"/>
        <v>0</v>
      </c>
      <c r="AM383" s="61">
        <f t="shared" si="128"/>
        <v>31912.427390421853</v>
      </c>
      <c r="AN383" s="63">
        <f t="shared" si="131"/>
        <v>0.1091413571392561</v>
      </c>
      <c r="AQ383" s="147"/>
    </row>
    <row r="384" spans="1:43">
      <c r="A384" s="10" t="str">
        <f>'Input - Bookings'!A384</f>
        <v>10-26</v>
      </c>
      <c r="B384" s="11" t="str">
        <f>'Input - Bookings'!C384</f>
        <v>P</v>
      </c>
      <c r="C384" s="11" t="str">
        <f>'Input - Bookings'!H384</f>
        <v>AU</v>
      </c>
      <c r="D384" s="24" t="str">
        <f>'Input - Bookings'!E384</f>
        <v>065</v>
      </c>
      <c r="E384" s="24" t="str">
        <f>'Input - Bookings'!G384</f>
        <v>ADAPT-A-LIFT GROUP (VIC)</v>
      </c>
      <c r="F384" s="24" t="str">
        <f>'Input - Bookings'!I384</f>
        <v>H68225</v>
      </c>
      <c r="G384" s="24" t="str">
        <f>'Input - Bookings'!L384</f>
        <v>D466</v>
      </c>
      <c r="H384" s="24" t="str">
        <f>'Input - Bookings'!M384</f>
        <v>H3.5XT</v>
      </c>
      <c r="I384" s="24" t="str">
        <f>'Input - Bookings'!B384</f>
        <v>AUD</v>
      </c>
      <c r="J384" s="13" t="str">
        <f>IF(I384="USD",INDEX('AP Plants'!A:A,MATCH(G384,'AP Plants'!D:D,0)),INDEX('Australia Plants'!A:A,MATCH(G384,'Australia Plants'!D:D,0)))</f>
        <v>SN</v>
      </c>
      <c r="K384" s="73">
        <v>1</v>
      </c>
      <c r="L384" s="97">
        <v>42360</v>
      </c>
      <c r="M384" s="97">
        <v>35822.1</v>
      </c>
      <c r="N384" s="99">
        <v>0.1091413571392561</v>
      </c>
      <c r="O384" s="25">
        <f t="shared" si="130"/>
        <v>0.15434135977337116</v>
      </c>
      <c r="P384" s="14">
        <f>IFERROR(IF(OR(B384&amp;C384="PAU",B384&amp;C384="AIN"),VLOOKUP(B384&amp;C384&amp;G384,#REF!,8,0),VLOOKUP(B384&amp;G384,#REF!,8,0)),0)</f>
        <v>0</v>
      </c>
      <c r="Q384" s="15">
        <f t="shared" si="123"/>
        <v>0.1091413571392561</v>
      </c>
      <c r="R384" s="16" t="str">
        <f t="shared" si="124"/>
        <v>AOP</v>
      </c>
      <c r="S384" s="17">
        <f t="shared" si="116"/>
        <v>3909.672609578146</v>
      </c>
      <c r="T384" s="18" t="e">
        <f t="shared" si="125"/>
        <v>#DIV/0!</v>
      </c>
      <c r="U384" s="23" t="e">
        <f t="shared" si="113"/>
        <v>#DIV/0!</v>
      </c>
      <c r="Y384" s="8" t="str">
        <f t="shared" si="126"/>
        <v>PAUH68225H3.5XT</v>
      </c>
      <c r="Z384" s="8" t="str">
        <f>IF(Y384='Input - Bookings'!Q617,"OK","Check")</f>
        <v>Check</v>
      </c>
      <c r="AA384" s="118"/>
      <c r="AB384" s="103"/>
      <c r="AC384" s="103"/>
      <c r="AD384" s="100">
        <v>19606.807833671624</v>
      </c>
      <c r="AE384" s="100"/>
      <c r="AF384" s="8" t="str">
        <f t="array" ref="AF384">_xlfn.XLOOKUP($G384,'AP Plants'!D:D,'AP Plants'!B:B)</f>
        <v>Class 5 NOT BT</v>
      </c>
      <c r="AG384" s="102">
        <f>AD384*'Currency &amp; Conversion'!$L$6</f>
        <v>29198.458225903785</v>
      </c>
      <c r="AH384" s="102"/>
      <c r="AI384" s="44">
        <v>1.4999999999999999E-2</v>
      </c>
      <c r="AJ384" s="15">
        <f>_xlfn.XLOOKUP($AF384,Warranty!B:B,Warranty!E:E)</f>
        <v>5.0000000000000001E-3</v>
      </c>
      <c r="AK384" s="8">
        <f>IF($I384="AUD",VLOOKUP(RIGHT('Wk - Margins'!$G384,3),'AU Freight'!C:G,5,0),0)</f>
        <v>2130</v>
      </c>
      <c r="AL384" s="15">
        <f t="shared" si="127"/>
        <v>0</v>
      </c>
      <c r="AM384" s="61">
        <f t="shared" si="128"/>
        <v>31912.427390421853</v>
      </c>
      <c r="AN384" s="63">
        <f t="shared" ref="AN384:AN386" si="132">1-AM384/M384</f>
        <v>0.1091413571392561</v>
      </c>
      <c r="AQ384" s="147"/>
    </row>
    <row r="385" spans="1:43">
      <c r="A385" s="10" t="str">
        <f>'Input - Bookings'!A385</f>
        <v>10-26</v>
      </c>
      <c r="B385" s="11" t="str">
        <f>'Input - Bookings'!C385</f>
        <v>P</v>
      </c>
      <c r="C385" s="11" t="str">
        <f>'Input - Bookings'!H385</f>
        <v>AU</v>
      </c>
      <c r="D385" s="24" t="str">
        <f>'Input - Bookings'!E385</f>
        <v>065</v>
      </c>
      <c r="E385" s="24" t="str">
        <f>'Input - Bookings'!G385</f>
        <v>ADAPT-A-LIFT GROUP (VIC)</v>
      </c>
      <c r="F385" s="24" t="str">
        <f>'Input - Bookings'!I385</f>
        <v>H68226</v>
      </c>
      <c r="G385" s="24" t="str">
        <f>'Input - Bookings'!L385</f>
        <v>D466</v>
      </c>
      <c r="H385" s="24" t="str">
        <f>'Input - Bookings'!M385</f>
        <v>H3.5XT</v>
      </c>
      <c r="I385" s="24" t="str">
        <f>'Input - Bookings'!B385</f>
        <v>AUD</v>
      </c>
      <c r="J385" s="13" t="str">
        <f>IF(I385="USD",INDEX('AP Plants'!A:A,MATCH(G385,'AP Plants'!D:D,0)),INDEX('Australia Plants'!A:A,MATCH(G385,'Australia Plants'!D:D,0)))</f>
        <v>SN</v>
      </c>
      <c r="K385" s="73">
        <v>1</v>
      </c>
      <c r="L385" s="97">
        <v>42360</v>
      </c>
      <c r="M385" s="97">
        <v>35822.1</v>
      </c>
      <c r="N385" s="99">
        <v>0.1091413571392561</v>
      </c>
      <c r="O385" s="25">
        <f t="shared" si="130"/>
        <v>0.15434135977337116</v>
      </c>
      <c r="P385" s="14">
        <f>IFERROR(IF(OR(B385&amp;C385="PAU",B385&amp;C385="AIN"),VLOOKUP(B385&amp;C385&amp;G385,#REF!,8,0),VLOOKUP(B385&amp;G385,#REF!,8,0)),0)</f>
        <v>0</v>
      </c>
      <c r="Q385" s="15">
        <f t="shared" si="123"/>
        <v>0.1091413571392561</v>
      </c>
      <c r="R385" s="16" t="str">
        <f t="shared" si="124"/>
        <v>AOP</v>
      </c>
      <c r="S385" s="17">
        <f t="shared" si="116"/>
        <v>3909.672609578146</v>
      </c>
      <c r="T385" s="18" t="e">
        <f t="shared" si="125"/>
        <v>#DIV/0!</v>
      </c>
      <c r="U385" s="23" t="e">
        <f t="shared" si="113"/>
        <v>#DIV/0!</v>
      </c>
      <c r="Y385" s="8" t="str">
        <f t="shared" si="126"/>
        <v>PAUH68226H3.5XT</v>
      </c>
      <c r="Z385" s="8" t="str">
        <f>IF(Y385='Input - Bookings'!Q618,"OK","Check")</f>
        <v>Check</v>
      </c>
      <c r="AA385" s="118"/>
      <c r="AB385" s="103"/>
      <c r="AC385" s="103"/>
      <c r="AD385" s="100">
        <v>19606.807833671624</v>
      </c>
      <c r="AE385" s="100"/>
      <c r="AF385" s="8" t="str">
        <f t="array" ref="AF385">_xlfn.XLOOKUP($G385,'AP Plants'!D:D,'AP Plants'!B:B)</f>
        <v>Class 5 NOT BT</v>
      </c>
      <c r="AG385" s="102">
        <f>AD385*'Currency &amp; Conversion'!$L$6</f>
        <v>29198.458225903785</v>
      </c>
      <c r="AH385" s="102"/>
      <c r="AI385" s="44">
        <v>1.4999999999999999E-2</v>
      </c>
      <c r="AJ385" s="15">
        <f>_xlfn.XLOOKUP($AF385,Warranty!B:B,Warranty!E:E)</f>
        <v>5.0000000000000001E-3</v>
      </c>
      <c r="AK385" s="8">
        <f>IF($I385="AUD",VLOOKUP(RIGHT('Wk - Margins'!$G385,3),'AU Freight'!C:G,5,0),0)</f>
        <v>2130</v>
      </c>
      <c r="AL385" s="15">
        <f t="shared" si="127"/>
        <v>0</v>
      </c>
      <c r="AM385" s="61">
        <f t="shared" si="128"/>
        <v>31912.427390421853</v>
      </c>
      <c r="AN385" s="63">
        <f t="shared" si="132"/>
        <v>0.1091413571392561</v>
      </c>
      <c r="AQ385" s="147"/>
    </row>
    <row r="386" spans="1:43">
      <c r="A386" s="10" t="str">
        <f>'Input - Bookings'!A386</f>
        <v>10-26</v>
      </c>
      <c r="B386" s="11" t="str">
        <f>'Input - Bookings'!C386</f>
        <v>P</v>
      </c>
      <c r="C386" s="11" t="str">
        <f>'Input - Bookings'!H386</f>
        <v>AU</v>
      </c>
      <c r="D386" s="24" t="str">
        <f>'Input - Bookings'!E386</f>
        <v>065</v>
      </c>
      <c r="E386" s="24" t="str">
        <f>'Input - Bookings'!G386</f>
        <v>ADAPT-A-LIFT GROUP (VIC)</v>
      </c>
      <c r="F386" s="24" t="str">
        <f>'Input - Bookings'!I386</f>
        <v>H68519</v>
      </c>
      <c r="G386" s="24" t="str">
        <f>'Input - Bookings'!L386</f>
        <v>E264</v>
      </c>
      <c r="H386" s="24" t="str">
        <f>'Input - Bookings'!M386</f>
        <v>N35ZR3</v>
      </c>
      <c r="I386" s="24" t="str">
        <f>'Input - Bookings'!B386</f>
        <v>AUD</v>
      </c>
      <c r="J386" s="13" t="str">
        <f>IF(I386="USD",INDEX('AP Plants'!A:A,MATCH(G386,'AP Plants'!D:D,0)),INDEX('Australia Plants'!A:A,MATCH(G386,'Australia Plants'!D:D,0)))</f>
        <v>Greenville</v>
      </c>
      <c r="K386" s="73">
        <v>1</v>
      </c>
      <c r="L386" s="97">
        <v>54570</v>
      </c>
      <c r="M386" s="97">
        <v>52127.825000000004</v>
      </c>
      <c r="N386" s="99">
        <v>7.0579196703242864E-2</v>
      </c>
      <c r="O386" s="25">
        <f t="shared" si="130"/>
        <v>4.4753069452079797E-2</v>
      </c>
      <c r="P386" s="14">
        <f>IFERROR(IF(OR(B386&amp;C386="PAU",B386&amp;C386="AIN"),VLOOKUP(B386&amp;C386&amp;G386,#REF!,8,0),VLOOKUP(B386&amp;G386,#REF!,8,0)),0)</f>
        <v>0</v>
      </c>
      <c r="Q386" s="15">
        <f t="shared" ref="Q386:Q404" si="133">N386-P386</f>
        <v>7.0579196703242864E-2</v>
      </c>
      <c r="R386" s="16" t="str">
        <f t="shared" ref="R386:R404" si="134">IF(Q386&gt;=0%,"AOP",IF(Q386&gt;=-2%,"GM",IF(Q386&gt;=-6%,"MD","VP")))</f>
        <v>AOP</v>
      </c>
      <c r="S386" s="17">
        <f t="shared" si="116"/>
        <v>3679.1400143872211</v>
      </c>
      <c r="T386" s="18" t="e">
        <f t="shared" ref="T386:T404" si="135">IF(I386="USD",S386,S386/$X$6)</f>
        <v>#DIV/0!</v>
      </c>
      <c r="U386" s="23" t="e">
        <f t="shared" si="113"/>
        <v>#DIV/0!</v>
      </c>
      <c r="Y386" s="8" t="str">
        <f t="shared" si="126"/>
        <v>PAUH68519N35ZR3</v>
      </c>
      <c r="Z386" s="8" t="str">
        <f>IF(Y386='Input - Bookings'!Q619,"OK","Check")</f>
        <v>Check</v>
      </c>
      <c r="AA386" s="139"/>
      <c r="AB386" s="103">
        <v>0</v>
      </c>
      <c r="AC386" s="103">
        <v>0</v>
      </c>
      <c r="AD386" s="100">
        <v>28557.889393000001</v>
      </c>
      <c r="AE386" s="98"/>
      <c r="AF386" s="8" t="str">
        <f t="array" ref="AF386">_xlfn.XLOOKUP($G386,'AP Plants'!D:D,'AP Plants'!B:B)</f>
        <v>Class 2</v>
      </c>
      <c r="AG386" s="102">
        <f>(AD386*(1+VLOOKUP(J386,'Currency &amp; Conversion'!$F$12:$I$18,2,0))*'Currency &amp; Conversion'!$L$6)+((AB386+AC386)*90%)</f>
        <v>42566.684452051253</v>
      </c>
      <c r="AH386" s="102"/>
      <c r="AI386" s="44">
        <v>1.4999999999999999E-2</v>
      </c>
      <c r="AJ386" s="15">
        <f>_xlfn.XLOOKUP($AF386,Warranty!B:B,Warranty!E:E)</f>
        <v>1.4999999999999999E-2</v>
      </c>
      <c r="AK386" s="8">
        <f>IF($I386="AUD",VLOOKUP(RIGHT('Wk - Margins'!$G386,3),'AU Freight'!C:G,5,0),0)</f>
        <v>4605</v>
      </c>
      <c r="AL386" s="15">
        <f t="shared" si="127"/>
        <v>0</v>
      </c>
      <c r="AM386" s="61">
        <f t="shared" si="128"/>
        <v>48448.684985612781</v>
      </c>
      <c r="AN386" s="63">
        <f t="shared" si="132"/>
        <v>7.0579196703242864E-2</v>
      </c>
      <c r="AQ386" s="147"/>
    </row>
    <row r="387" spans="1:43">
      <c r="A387" s="10" t="str">
        <f>'Input - Bookings'!A387</f>
        <v>10-26</v>
      </c>
      <c r="B387" s="11" t="str">
        <f>'Input - Bookings'!C387</f>
        <v>P</v>
      </c>
      <c r="C387" s="11" t="str">
        <f>'Input - Bookings'!H387</f>
        <v>AU</v>
      </c>
      <c r="D387" s="24" t="str">
        <f>'Input - Bookings'!E387</f>
        <v>065</v>
      </c>
      <c r="E387" s="24" t="str">
        <f>'Input - Bookings'!G387</f>
        <v>ADAPT-A-LIFT GROUP (VIC)</v>
      </c>
      <c r="F387" s="24" t="str">
        <f>'Input - Bookings'!I387</f>
        <v>H68520</v>
      </c>
      <c r="G387" s="24" t="str">
        <f>'Input - Bookings'!L387</f>
        <v>D435</v>
      </c>
      <c r="H387" s="24" t="str">
        <f>'Input - Bookings'!M387</f>
        <v>R1.6</v>
      </c>
      <c r="I387" s="24" t="str">
        <f>'Input - Bookings'!B387</f>
        <v>AUD</v>
      </c>
      <c r="J387" s="13" t="str">
        <f>IF(I387="USD",INDEX('AP Plants'!A:A,MATCH(G387,'AP Plants'!D:D,0)),INDEX('Australia Plants'!A:A,MATCH(G387,'Australia Plants'!D:D,0)))</f>
        <v>Masate</v>
      </c>
      <c r="K387" s="73">
        <v>1</v>
      </c>
      <c r="L387" s="97">
        <v>64320</v>
      </c>
      <c r="M387" s="97">
        <v>41991.8</v>
      </c>
      <c r="N387" s="99">
        <v>0.13874850469807698</v>
      </c>
      <c r="O387" s="25">
        <f t="shared" si="130"/>
        <v>0.34714241293532333</v>
      </c>
      <c r="P387" s="14">
        <f>IFERROR(IF(OR(B387&amp;C387="PAU",B387&amp;C387="AIN"),VLOOKUP(B387&amp;C387&amp;G387,#REF!,8,0),VLOOKUP(B387&amp;G387,#REF!,8,0)),0)</f>
        <v>0</v>
      </c>
      <c r="Q387" s="15">
        <f t="shared" si="133"/>
        <v>0.13874850469807698</v>
      </c>
      <c r="R387" s="16" t="str">
        <f t="shared" si="134"/>
        <v>AOP</v>
      </c>
      <c r="S387" s="17">
        <f t="shared" si="116"/>
        <v>5826.2994595807095</v>
      </c>
      <c r="T387" s="18" t="e">
        <f t="shared" si="135"/>
        <v>#DIV/0!</v>
      </c>
      <c r="U387" s="23" t="e">
        <f t="shared" ref="U387:U450" si="136">IF(I387="USD",M387,M387/$X$6)</f>
        <v>#DIV/0!</v>
      </c>
      <c r="Y387" s="8" t="str">
        <f t="shared" si="126"/>
        <v>PAUH68520R1.6</v>
      </c>
      <c r="Z387" s="8" t="str">
        <f>IF(Y387='Input - Bookings'!Q620,"OK","Check")</f>
        <v>Check</v>
      </c>
      <c r="AA387" s="139"/>
      <c r="AB387" s="103">
        <v>0</v>
      </c>
      <c r="AC387" s="103">
        <v>0</v>
      </c>
      <c r="AD387" s="100"/>
      <c r="AE387" s="100">
        <v>19714.060000000001</v>
      </c>
      <c r="AF387" s="8" t="str">
        <f t="array" ref="AF387">_xlfn.XLOOKUP($G387,'AP Plants'!D:D,'AP Plants'!B:B)</f>
        <v>Class 2</v>
      </c>
      <c r="AG387" s="102">
        <f>(AE387*(1+VLOOKUP(J387,'Currency &amp; Conversion'!$F$12:$I$18,2,0))*'Currency &amp; Conversion'!$L$4)+((AB387+AC387)*90%)</f>
        <v>31733.49567031</v>
      </c>
      <c r="AH387" s="102"/>
      <c r="AI387" s="44">
        <v>1.4999999999999999E-2</v>
      </c>
      <c r="AJ387" s="15">
        <f>_xlfn.XLOOKUP($AF387,Warranty!B:B,Warranty!E:E)</f>
        <v>1.4999999999999999E-2</v>
      </c>
      <c r="AK387" s="8">
        <f>IF($I387="AUD",VLOOKUP(RIGHT('Wk - Margins'!$G387,3),'AU Freight'!C:G,5,0),0)</f>
        <v>3480</v>
      </c>
      <c r="AL387" s="15">
        <f t="shared" ref="AL387:AL450" si="137">IF(AND($I387="AUD",$AF387="Class 5 BT"),5%,0%)</f>
        <v>0</v>
      </c>
      <c r="AM387" s="61">
        <f t="shared" si="128"/>
        <v>36165.500540419293</v>
      </c>
      <c r="AN387" s="63">
        <f t="shared" ref="AN387:AN450" si="138">1-AM387/M387</f>
        <v>0.13874850469807698</v>
      </c>
      <c r="AQ387" s="147"/>
    </row>
    <row r="388" spans="1:43">
      <c r="A388" s="10" t="str">
        <f>'Input - Bookings'!A388</f>
        <v>10-26</v>
      </c>
      <c r="B388" s="11" t="str">
        <f>'Input - Bookings'!C388</f>
        <v>P</v>
      </c>
      <c r="C388" s="11" t="str">
        <f>'Input - Bookings'!H388</f>
        <v>AU</v>
      </c>
      <c r="D388" s="24" t="str">
        <f>'Input - Bookings'!E388</f>
        <v>065</v>
      </c>
      <c r="E388" s="24" t="str">
        <f>'Input - Bookings'!G388</f>
        <v>ADAPT-A-LIFT GROUP (VIC)</v>
      </c>
      <c r="F388" s="24" t="str">
        <f>'Input - Bookings'!I388</f>
        <v>H68521</v>
      </c>
      <c r="G388" s="24" t="str">
        <f>'Input - Bookings'!L388</f>
        <v>D466</v>
      </c>
      <c r="H388" s="24" t="str">
        <f>'Input - Bookings'!M388</f>
        <v>H2.5XT</v>
      </c>
      <c r="I388" s="24" t="str">
        <f>'Input - Bookings'!B388</f>
        <v>AUD</v>
      </c>
      <c r="J388" s="13" t="str">
        <f>IF(I388="USD",INDEX('AP Plants'!A:A,MATCH(G388,'AP Plants'!D:D,0)),INDEX('Australia Plants'!A:A,MATCH(G388,'Australia Plants'!D:D,0)))</f>
        <v>SN</v>
      </c>
      <c r="K388" s="73">
        <v>1</v>
      </c>
      <c r="L388" s="97">
        <v>45045</v>
      </c>
      <c r="M388" s="97">
        <v>36857.35</v>
      </c>
      <c r="N388" s="99">
        <v>0.24351691604541448</v>
      </c>
      <c r="O388" s="25">
        <f t="shared" si="130"/>
        <v>0.18176601176601181</v>
      </c>
      <c r="P388" s="14">
        <f>IFERROR(IF(OR(B388&amp;C388="PAU",B388&amp;C388="AIN"),VLOOKUP(B388&amp;C388&amp;G388,#REF!,8,0),VLOOKUP(B388&amp;G388,#REF!,8,0)),0)</f>
        <v>0</v>
      </c>
      <c r="Q388" s="15">
        <f t="shared" si="133"/>
        <v>0.24351691604541448</v>
      </c>
      <c r="R388" s="16" t="str">
        <f t="shared" si="134"/>
        <v>AOP</v>
      </c>
      <c r="S388" s="17">
        <f t="shared" si="116"/>
        <v>8975.3882056064576</v>
      </c>
      <c r="T388" s="18" t="e">
        <f t="shared" si="135"/>
        <v>#DIV/0!</v>
      </c>
      <c r="U388" s="23" t="e">
        <f t="shared" si="136"/>
        <v>#DIV/0!</v>
      </c>
      <c r="Y388" s="8" t="str">
        <f t="shared" si="126"/>
        <v>PAUH68521H2.5XT</v>
      </c>
      <c r="Z388" s="8" t="str">
        <f>IF(Y388='Input - Bookings'!Q621,"OK","Check")</f>
        <v>Check</v>
      </c>
      <c r="AA388" s="139" t="s">
        <v>1686</v>
      </c>
      <c r="AB388" s="103"/>
      <c r="AC388" s="103"/>
      <c r="AD388" s="100">
        <v>16953.412145482471</v>
      </c>
      <c r="AE388" s="100"/>
      <c r="AF388" s="8" t="str">
        <f t="array" ref="AF388">_xlfn.XLOOKUP($G388,'AP Plants'!D:D,'AP Plants'!B:B)</f>
        <v>Class 5 NOT BT</v>
      </c>
      <c r="AG388" s="102">
        <f>AD388*'Currency &amp; Conversion'!$L$6</f>
        <v>25247.021367052497</v>
      </c>
      <c r="AH388" s="102"/>
      <c r="AI388" s="44">
        <v>1.4999999999999999E-2</v>
      </c>
      <c r="AJ388" s="15">
        <f>_xlfn.XLOOKUP($AF388,Warranty!B:B,Warranty!E:E)</f>
        <v>5.0000000000000001E-3</v>
      </c>
      <c r="AK388" s="8">
        <f>IF($I388="AUD",VLOOKUP(RIGHT('Wk - Margins'!$G388,3),'AU Freight'!C:G,5,0),0)</f>
        <v>2130</v>
      </c>
      <c r="AL388" s="15">
        <f t="shared" si="137"/>
        <v>0</v>
      </c>
      <c r="AM388" s="61">
        <f t="shared" ref="AM388:AM407" si="139">SUM(AG388:AH388)*(1+AI388+AJ388+AL388)+AK388</f>
        <v>27881.961794393541</v>
      </c>
      <c r="AN388" s="63">
        <f t="shared" si="138"/>
        <v>0.24351691604541448</v>
      </c>
      <c r="AQ388" s="147"/>
    </row>
    <row r="389" spans="1:43">
      <c r="A389" s="10" t="str">
        <f>'Input - Bookings'!A389</f>
        <v>10-26</v>
      </c>
      <c r="B389" s="11" t="str">
        <f>'Input - Bookings'!C389</f>
        <v>P</v>
      </c>
      <c r="C389" s="11" t="str">
        <f>'Input - Bookings'!H389</f>
        <v>AU</v>
      </c>
      <c r="D389" s="24" t="str">
        <f>'Input - Bookings'!E389</f>
        <v>065</v>
      </c>
      <c r="E389" s="24" t="str">
        <f>'Input - Bookings'!G389</f>
        <v>ADAPT-A-LIFT GROUP (VIC)</v>
      </c>
      <c r="F389" s="24" t="str">
        <f>'Input - Bookings'!I389</f>
        <v>H68524</v>
      </c>
      <c r="G389" s="24" t="str">
        <f>'Input - Bookings'!L389</f>
        <v>D466</v>
      </c>
      <c r="H389" s="24" t="str">
        <f>'Input - Bookings'!M389</f>
        <v>H2.5XT</v>
      </c>
      <c r="I389" s="24" t="str">
        <f>'Input - Bookings'!B389</f>
        <v>AUD</v>
      </c>
      <c r="J389" s="13" t="str">
        <f>IF(I389="USD",INDEX('AP Plants'!A:A,MATCH(G389,'AP Plants'!D:D,0)),INDEX('Australia Plants'!A:A,MATCH(G389,'Australia Plants'!D:D,0)))</f>
        <v>SN</v>
      </c>
      <c r="K389" s="73">
        <v>1</v>
      </c>
      <c r="L389" s="97">
        <v>45045</v>
      </c>
      <c r="M389" s="97">
        <v>36857.35</v>
      </c>
      <c r="N389" s="99">
        <v>0.24351691604541448</v>
      </c>
      <c r="O389" s="25">
        <f t="shared" si="130"/>
        <v>0.18176601176601181</v>
      </c>
      <c r="P389" s="14">
        <f>IFERROR(IF(OR(B389&amp;C389="PAU",B389&amp;C389="AIN"),VLOOKUP(B389&amp;C389&amp;G389,#REF!,8,0),VLOOKUP(B389&amp;G389,#REF!,8,0)),0)</f>
        <v>0</v>
      </c>
      <c r="Q389" s="15">
        <f t="shared" si="133"/>
        <v>0.24351691604541448</v>
      </c>
      <c r="R389" s="16" t="str">
        <f t="shared" si="134"/>
        <v>AOP</v>
      </c>
      <c r="S389" s="17">
        <f t="shared" si="116"/>
        <v>8975.3882056064576</v>
      </c>
      <c r="T389" s="18" t="e">
        <f t="shared" si="135"/>
        <v>#DIV/0!</v>
      </c>
      <c r="U389" s="23" t="e">
        <f t="shared" si="136"/>
        <v>#DIV/0!</v>
      </c>
      <c r="Y389" s="8" t="str">
        <f t="shared" si="126"/>
        <v>PAUH68524H2.5XT</v>
      </c>
      <c r="Z389" s="8" t="str">
        <f>IF(Y389='Input - Bookings'!Q622,"OK","Check")</f>
        <v>Check</v>
      </c>
      <c r="AA389" s="139" t="s">
        <v>1686</v>
      </c>
      <c r="AB389" s="103"/>
      <c r="AC389" s="103"/>
      <c r="AD389" s="100">
        <v>16953.412145482471</v>
      </c>
      <c r="AE389" s="100"/>
      <c r="AF389" s="8" t="str">
        <f t="array" ref="AF389">_xlfn.XLOOKUP($G389,'AP Plants'!D:D,'AP Plants'!B:B)</f>
        <v>Class 5 NOT BT</v>
      </c>
      <c r="AG389" s="102">
        <f>AD389*'Currency &amp; Conversion'!$L$6</f>
        <v>25247.021367052497</v>
      </c>
      <c r="AH389" s="102"/>
      <c r="AI389" s="44">
        <v>1.4999999999999999E-2</v>
      </c>
      <c r="AJ389" s="15">
        <f>_xlfn.XLOOKUP($AF389,Warranty!B:B,Warranty!E:E)</f>
        <v>5.0000000000000001E-3</v>
      </c>
      <c r="AK389" s="8">
        <f>IF($I389="AUD",VLOOKUP(RIGHT('Wk - Margins'!$G389,3),'AU Freight'!C:G,5,0),0)</f>
        <v>2130</v>
      </c>
      <c r="AL389" s="15">
        <f t="shared" si="137"/>
        <v>0</v>
      </c>
      <c r="AM389" s="61">
        <f t="shared" si="139"/>
        <v>27881.961794393541</v>
      </c>
      <c r="AN389" s="63">
        <f t="shared" si="138"/>
        <v>0.24351691604541448</v>
      </c>
      <c r="AQ389" s="147"/>
    </row>
    <row r="390" spans="1:43">
      <c r="A390" s="10" t="str">
        <f>'Input - Bookings'!A390</f>
        <v>10-26</v>
      </c>
      <c r="B390" s="11" t="str">
        <f>'Input - Bookings'!C390</f>
        <v>P</v>
      </c>
      <c r="C390" s="11" t="str">
        <f>'Input - Bookings'!H390</f>
        <v>AU</v>
      </c>
      <c r="D390" s="24" t="str">
        <f>'Input - Bookings'!E390</f>
        <v>065</v>
      </c>
      <c r="E390" s="24" t="str">
        <f>'Input - Bookings'!G390</f>
        <v>ADAPT-A-LIFT GROUP (VIC)</v>
      </c>
      <c r="F390" s="24" t="str">
        <f>'Input - Bookings'!I390</f>
        <v>H68525</v>
      </c>
      <c r="G390" s="24" t="str">
        <f>'Input - Bookings'!L390</f>
        <v>D466</v>
      </c>
      <c r="H390" s="24" t="str">
        <f>'Input - Bookings'!M390</f>
        <v>H2.5XT</v>
      </c>
      <c r="I390" s="24" t="str">
        <f>'Input - Bookings'!B390</f>
        <v>AUD</v>
      </c>
      <c r="J390" s="13" t="str">
        <f>IF(I390="USD",INDEX('AP Plants'!A:A,MATCH(G390,'AP Plants'!D:D,0)),INDEX('Australia Plants'!A:A,MATCH(G390,'Australia Plants'!D:D,0)))</f>
        <v>SN</v>
      </c>
      <c r="K390" s="73">
        <v>1</v>
      </c>
      <c r="L390" s="97">
        <v>45045</v>
      </c>
      <c r="M390" s="97">
        <v>36857.35</v>
      </c>
      <c r="N390" s="99">
        <v>0.24351691604541448</v>
      </c>
      <c r="O390" s="25">
        <f t="shared" si="130"/>
        <v>0.18176601176601181</v>
      </c>
      <c r="P390" s="14">
        <f>IFERROR(IF(OR(B390&amp;C390="PAU",B390&amp;C390="AIN"),VLOOKUP(B390&amp;C390&amp;G390,#REF!,8,0),VLOOKUP(B390&amp;G390,#REF!,8,0)),0)</f>
        <v>0</v>
      </c>
      <c r="Q390" s="15">
        <f t="shared" si="133"/>
        <v>0.24351691604541448</v>
      </c>
      <c r="R390" s="16" t="str">
        <f t="shared" si="134"/>
        <v>AOP</v>
      </c>
      <c r="S390" s="17">
        <f t="shared" si="116"/>
        <v>8975.3882056064576</v>
      </c>
      <c r="T390" s="18" t="e">
        <f t="shared" si="135"/>
        <v>#DIV/0!</v>
      </c>
      <c r="U390" s="23" t="e">
        <f t="shared" si="136"/>
        <v>#DIV/0!</v>
      </c>
      <c r="Y390" s="8" t="str">
        <f t="shared" si="126"/>
        <v>PAUH68525H2.5XT</v>
      </c>
      <c r="Z390" s="8" t="str">
        <f>IF(Y390='Input - Bookings'!Q623,"OK","Check")</f>
        <v>Check</v>
      </c>
      <c r="AA390" s="139" t="s">
        <v>1686</v>
      </c>
      <c r="AB390" s="103"/>
      <c r="AC390" s="103"/>
      <c r="AD390" s="100">
        <v>16953.412145482471</v>
      </c>
      <c r="AE390" s="100"/>
      <c r="AF390" s="8" t="str">
        <f t="array" ref="AF390">_xlfn.XLOOKUP($G390,'AP Plants'!D:D,'AP Plants'!B:B)</f>
        <v>Class 5 NOT BT</v>
      </c>
      <c r="AG390" s="102">
        <f>AD390*'Currency &amp; Conversion'!$L$6</f>
        <v>25247.021367052497</v>
      </c>
      <c r="AH390" s="102"/>
      <c r="AI390" s="44">
        <v>1.4999999999999999E-2</v>
      </c>
      <c r="AJ390" s="15">
        <f>_xlfn.XLOOKUP($AF390,Warranty!B:B,Warranty!E:E)</f>
        <v>5.0000000000000001E-3</v>
      </c>
      <c r="AK390" s="8">
        <f>IF($I390="AUD",VLOOKUP(RIGHT('Wk - Margins'!$G390,3),'AU Freight'!C:G,5,0),0)</f>
        <v>2130</v>
      </c>
      <c r="AL390" s="15">
        <f t="shared" si="137"/>
        <v>0</v>
      </c>
      <c r="AM390" s="61">
        <f t="shared" si="139"/>
        <v>27881.961794393541</v>
      </c>
      <c r="AN390" s="63">
        <f t="shared" si="138"/>
        <v>0.24351691604541448</v>
      </c>
      <c r="AQ390" s="147"/>
    </row>
    <row r="391" spans="1:43">
      <c r="A391" s="10" t="str">
        <f>'Input - Bookings'!A391</f>
        <v>10-26</v>
      </c>
      <c r="B391" s="11" t="str">
        <f>'Input - Bookings'!C391</f>
        <v>P</v>
      </c>
      <c r="C391" s="11" t="str">
        <f>'Input - Bookings'!H391</f>
        <v>AU</v>
      </c>
      <c r="D391" s="24" t="str">
        <f>'Input - Bookings'!E391</f>
        <v>065</v>
      </c>
      <c r="E391" s="24" t="str">
        <f>'Input - Bookings'!G391</f>
        <v>ADAPT-A-LIFT GROUP (VIC)</v>
      </c>
      <c r="F391" s="24" t="str">
        <f>'Input - Bookings'!I391</f>
        <v>H68522</v>
      </c>
      <c r="G391" s="24" t="str">
        <f>'Input - Bookings'!L391</f>
        <v>A3B0</v>
      </c>
      <c r="H391" s="24" t="str">
        <f>'Input - Bookings'!M391</f>
        <v>P2.0UT</v>
      </c>
      <c r="I391" s="24" t="str">
        <f>'Input - Bookings'!B391</f>
        <v>AUD</v>
      </c>
      <c r="J391" s="13" t="str">
        <f>IF(I391="USD",INDEX('AP Plants'!A:A,MATCH(G391,'AP Plants'!D:D,0)),INDEX('Australia Plants'!A:A,MATCH(G391,'Australia Plants'!D:D,0)))</f>
        <v>Ruyi</v>
      </c>
      <c r="K391" s="73">
        <v>1</v>
      </c>
      <c r="L391" s="97">
        <v>8565</v>
      </c>
      <c r="M391" s="97">
        <v>6784.05</v>
      </c>
      <c r="N391" s="99">
        <v>0.30219488450598386</v>
      </c>
      <c r="O391" s="25">
        <f t="shared" si="130"/>
        <v>0.2079334500875657</v>
      </c>
      <c r="P391" s="14">
        <f>IFERROR(IF(OR(B391&amp;C391="PAU",B391&amp;C391="AIN"),VLOOKUP(B391&amp;C391&amp;G391,#REF!,8,0),VLOOKUP(B391&amp;G391,#REF!,8,0)),0)</f>
        <v>0</v>
      </c>
      <c r="Q391" s="15">
        <f t="shared" si="133"/>
        <v>0.30219488450598386</v>
      </c>
      <c r="R391" s="16" t="str">
        <f t="shared" si="134"/>
        <v>AOP</v>
      </c>
      <c r="S391" s="17">
        <f t="shared" si="116"/>
        <v>2050.1052062328199</v>
      </c>
      <c r="T391" s="18" t="e">
        <f t="shared" si="135"/>
        <v>#DIV/0!</v>
      </c>
      <c r="U391" s="23" t="e">
        <f t="shared" si="136"/>
        <v>#DIV/0!</v>
      </c>
      <c r="Y391" s="8" t="str">
        <f t="shared" si="126"/>
        <v>PAUH68522P2.0UT</v>
      </c>
      <c r="Z391" s="8" t="str">
        <f>IF(Y391='Input - Bookings'!Q624,"OK","Check")</f>
        <v>Check</v>
      </c>
      <c r="AA391" s="139"/>
      <c r="AB391" s="103"/>
      <c r="AC391" s="103"/>
      <c r="AD391" s="100">
        <v>2564.7084860622244</v>
      </c>
      <c r="AE391" s="100"/>
      <c r="AF391" s="8" t="str">
        <f t="array" ref="AF391">_xlfn.XLOOKUP($G391,'AP Plants'!D:D,'AP Plants'!B:B)</f>
        <v>Class 3</v>
      </c>
      <c r="AG391" s="102">
        <f>AD391*'Currency &amp; Conversion'!$L$6</f>
        <v>3819.363877443865</v>
      </c>
      <c r="AH391" s="102"/>
      <c r="AI391" s="44">
        <v>1.4999999999999999E-2</v>
      </c>
      <c r="AJ391" s="15">
        <f>_xlfn.XLOOKUP($AF391,Warranty!B:B,Warranty!E:E)</f>
        <v>1.4999999999999999E-2</v>
      </c>
      <c r="AK391" s="8">
        <f>IF($I391="AUD",VLOOKUP(RIGHT('Wk - Margins'!$G391,3),'AU Freight'!C:G,5,0),0)</f>
        <v>800</v>
      </c>
      <c r="AL391" s="15">
        <f t="shared" si="137"/>
        <v>0</v>
      </c>
      <c r="AM391" s="61">
        <f t="shared" si="139"/>
        <v>4733.9447937671803</v>
      </c>
      <c r="AN391" s="63">
        <f t="shared" si="138"/>
        <v>0.30219488450598386</v>
      </c>
      <c r="AQ391" s="147"/>
    </row>
    <row r="392" spans="1:43">
      <c r="A392" s="10" t="str">
        <f>'Input - Bookings'!A392</f>
        <v>10-26</v>
      </c>
      <c r="B392" s="11" t="str">
        <f>'Input - Bookings'!C392</f>
        <v>P</v>
      </c>
      <c r="C392" s="11" t="str">
        <f>'Input - Bookings'!H392</f>
        <v>AU</v>
      </c>
      <c r="D392" s="24" t="str">
        <f>'Input - Bookings'!E392</f>
        <v>065</v>
      </c>
      <c r="E392" s="24" t="str">
        <f>'Input - Bookings'!G392</f>
        <v>ADAPT-A-LIFT GROUP (VIC)</v>
      </c>
      <c r="F392" s="24" t="str">
        <f>'Input - Bookings'!I392</f>
        <v>H68526</v>
      </c>
      <c r="G392" s="24" t="str">
        <f>'Input - Bookings'!L392</f>
        <v>A3B0</v>
      </c>
      <c r="H392" s="24" t="str">
        <f>'Input - Bookings'!M392</f>
        <v>P2.0UT</v>
      </c>
      <c r="I392" s="24" t="str">
        <f>'Input - Bookings'!B392</f>
        <v>AUD</v>
      </c>
      <c r="J392" s="13" t="str">
        <f>IF(I392="USD",INDEX('AP Plants'!A:A,MATCH(G392,'AP Plants'!D:D,0)),INDEX('Australia Plants'!A:A,MATCH(G392,'Australia Plants'!D:D,0)))</f>
        <v>Ruyi</v>
      </c>
      <c r="K392" s="73">
        <v>1</v>
      </c>
      <c r="L392" s="97">
        <v>8565</v>
      </c>
      <c r="M392" s="97">
        <v>6784.05</v>
      </c>
      <c r="N392" s="99">
        <v>0.30219488450598386</v>
      </c>
      <c r="O392" s="25">
        <f t="shared" si="130"/>
        <v>0.2079334500875657</v>
      </c>
      <c r="P392" s="14">
        <f>IFERROR(IF(OR(B392&amp;C392="PAU",B392&amp;C392="AIN"),VLOOKUP(B392&amp;C392&amp;G392,#REF!,8,0),VLOOKUP(B392&amp;G392,#REF!,8,0)),0)</f>
        <v>0</v>
      </c>
      <c r="Q392" s="15">
        <f t="shared" si="133"/>
        <v>0.30219488450598386</v>
      </c>
      <c r="R392" s="16" t="str">
        <f t="shared" si="134"/>
        <v>AOP</v>
      </c>
      <c r="S392" s="17">
        <f t="shared" si="116"/>
        <v>2050.1052062328199</v>
      </c>
      <c r="T392" s="18" t="e">
        <f t="shared" si="135"/>
        <v>#DIV/0!</v>
      </c>
      <c r="U392" s="23" t="e">
        <f t="shared" si="136"/>
        <v>#DIV/0!</v>
      </c>
      <c r="Y392" s="8" t="str">
        <f t="shared" si="126"/>
        <v>PAUH68526P2.0UT</v>
      </c>
      <c r="Z392" s="8" t="str">
        <f>IF(Y392='Input - Bookings'!Q625,"OK","Check")</f>
        <v>Check</v>
      </c>
      <c r="AA392" s="139"/>
      <c r="AB392" s="103"/>
      <c r="AC392" s="103"/>
      <c r="AD392" s="100">
        <v>2564.7084860622244</v>
      </c>
      <c r="AE392" s="100"/>
      <c r="AF392" s="8" t="str">
        <f t="array" ref="AF392">_xlfn.XLOOKUP($G392,'AP Plants'!D:D,'AP Plants'!B:B)</f>
        <v>Class 3</v>
      </c>
      <c r="AG392" s="102">
        <f>AD392*'Currency &amp; Conversion'!$L$6</f>
        <v>3819.363877443865</v>
      </c>
      <c r="AH392" s="102"/>
      <c r="AI392" s="44">
        <v>1.4999999999999999E-2</v>
      </c>
      <c r="AJ392" s="15">
        <f>_xlfn.XLOOKUP($AF392,Warranty!B:B,Warranty!E:E)</f>
        <v>1.4999999999999999E-2</v>
      </c>
      <c r="AK392" s="8">
        <f>IF($I392="AUD",VLOOKUP(RIGHT('Wk - Margins'!$G392,3),'AU Freight'!C:G,5,0),0)</f>
        <v>800</v>
      </c>
      <c r="AL392" s="15">
        <f t="shared" si="137"/>
        <v>0</v>
      </c>
      <c r="AM392" s="61">
        <f t="shared" si="139"/>
        <v>4733.9447937671803</v>
      </c>
      <c r="AN392" s="63">
        <f t="shared" si="138"/>
        <v>0.30219488450598386</v>
      </c>
      <c r="AQ392" s="147"/>
    </row>
    <row r="393" spans="1:43">
      <c r="A393" s="10" t="str">
        <f>'Input - Bookings'!A393</f>
        <v>10-26</v>
      </c>
      <c r="B393" s="11" t="str">
        <f>'Input - Bookings'!C393</f>
        <v>P</v>
      </c>
      <c r="C393" s="11" t="str">
        <f>'Input - Bookings'!H393</f>
        <v>AU</v>
      </c>
      <c r="D393" s="24" t="str">
        <f>'Input - Bookings'!E393</f>
        <v>065</v>
      </c>
      <c r="E393" s="24" t="str">
        <f>'Input - Bookings'!G393</f>
        <v>ADAPT-A-LIFT GROUP (VIC)</v>
      </c>
      <c r="F393" s="24" t="str">
        <f>'Input - Bookings'!I393</f>
        <v>H68527</v>
      </c>
      <c r="G393" s="24" t="str">
        <f>'Input - Bookings'!L393</f>
        <v>A3B0</v>
      </c>
      <c r="H393" s="24" t="str">
        <f>'Input - Bookings'!M393</f>
        <v>P2.0UT</v>
      </c>
      <c r="I393" s="24" t="str">
        <f>'Input - Bookings'!B393</f>
        <v>AUD</v>
      </c>
      <c r="J393" s="13" t="str">
        <f>IF(I393="USD",INDEX('AP Plants'!A:A,MATCH(G393,'AP Plants'!D:D,0)),INDEX('Australia Plants'!A:A,MATCH(G393,'Australia Plants'!D:D,0)))</f>
        <v>Ruyi</v>
      </c>
      <c r="K393" s="73">
        <v>1</v>
      </c>
      <c r="L393" s="97">
        <v>8565</v>
      </c>
      <c r="M393" s="97">
        <v>6784.05</v>
      </c>
      <c r="N393" s="99">
        <v>0.30219488450598386</v>
      </c>
      <c r="O393" s="25">
        <f t="shared" si="130"/>
        <v>0.2079334500875657</v>
      </c>
      <c r="P393" s="14">
        <f>IFERROR(IF(OR(B393&amp;C393="PAU",B393&amp;C393="AIN"),VLOOKUP(B393&amp;C393&amp;G393,#REF!,8,0),VLOOKUP(B393&amp;G393,#REF!,8,0)),0)</f>
        <v>0</v>
      </c>
      <c r="Q393" s="15">
        <f t="shared" si="133"/>
        <v>0.30219488450598386</v>
      </c>
      <c r="R393" s="16" t="str">
        <f t="shared" si="134"/>
        <v>AOP</v>
      </c>
      <c r="S393" s="17">
        <f t="shared" ref="S393:S456" si="140">K393*M393*(N393-P393)</f>
        <v>2050.1052062328199</v>
      </c>
      <c r="T393" s="18" t="e">
        <f t="shared" si="135"/>
        <v>#DIV/0!</v>
      </c>
      <c r="U393" s="23" t="e">
        <f t="shared" si="136"/>
        <v>#DIV/0!</v>
      </c>
      <c r="Y393" s="8" t="str">
        <f t="shared" si="126"/>
        <v>PAUH68527P2.0UT</v>
      </c>
      <c r="Z393" s="8" t="str">
        <f>IF(Y393='Input - Bookings'!Q626,"OK","Check")</f>
        <v>Check</v>
      </c>
      <c r="AA393" s="139"/>
      <c r="AB393" s="103"/>
      <c r="AC393" s="103"/>
      <c r="AD393" s="100">
        <v>2564.7084860622244</v>
      </c>
      <c r="AE393" s="100"/>
      <c r="AF393" s="8" t="str">
        <f t="array" ref="AF393">_xlfn.XLOOKUP($G393,'AP Plants'!D:D,'AP Plants'!B:B)</f>
        <v>Class 3</v>
      </c>
      <c r="AG393" s="102">
        <f>AD393*'Currency &amp; Conversion'!$L$6</f>
        <v>3819.363877443865</v>
      </c>
      <c r="AH393" s="102"/>
      <c r="AI393" s="44">
        <v>1.4999999999999999E-2</v>
      </c>
      <c r="AJ393" s="15">
        <f>_xlfn.XLOOKUP($AF393,Warranty!B:B,Warranty!E:E)</f>
        <v>1.4999999999999999E-2</v>
      </c>
      <c r="AK393" s="8">
        <f>IF($I393="AUD",VLOOKUP(RIGHT('Wk - Margins'!$G393,3),'AU Freight'!C:G,5,0),0)</f>
        <v>800</v>
      </c>
      <c r="AL393" s="15">
        <f t="shared" si="137"/>
        <v>0</v>
      </c>
      <c r="AM393" s="61">
        <f t="shared" si="139"/>
        <v>4733.9447937671803</v>
      </c>
      <c r="AN393" s="63">
        <f t="shared" si="138"/>
        <v>0.30219488450598386</v>
      </c>
      <c r="AQ393" s="147"/>
    </row>
    <row r="394" spans="1:43">
      <c r="A394" s="10" t="str">
        <f>'Input - Bookings'!A394</f>
        <v>10-26</v>
      </c>
      <c r="B394" s="11" t="str">
        <f>'Input - Bookings'!C394</f>
        <v>P</v>
      </c>
      <c r="C394" s="11" t="str">
        <f>'Input - Bookings'!H394</f>
        <v>AU</v>
      </c>
      <c r="D394" s="24" t="str">
        <f>'Input - Bookings'!E394</f>
        <v>065</v>
      </c>
      <c r="E394" s="24" t="str">
        <f>'Input - Bookings'!G394</f>
        <v>ADAPT-A-LIFT GROUP (VIC)</v>
      </c>
      <c r="F394" s="24" t="str">
        <f>'Input - Bookings'!I394</f>
        <v>H68523</v>
      </c>
      <c r="G394" s="24" t="str">
        <f>'Input - Bookings'!L394</f>
        <v>D466</v>
      </c>
      <c r="H394" s="24" t="str">
        <f>'Input - Bookings'!M394</f>
        <v>H2.5XT</v>
      </c>
      <c r="I394" s="24" t="str">
        <f>'Input - Bookings'!B394</f>
        <v>AUD</v>
      </c>
      <c r="J394" s="13" t="str">
        <f>IF(I394="USD",INDEX('AP Plants'!A:A,MATCH(G394,'AP Plants'!D:D,0)),INDEX('Australia Plants'!A:A,MATCH(G394,'Australia Plants'!D:D,0)))</f>
        <v>SN</v>
      </c>
      <c r="K394" s="73">
        <v>1</v>
      </c>
      <c r="L394" s="97">
        <v>45620</v>
      </c>
      <c r="M394" s="97">
        <v>37348.97</v>
      </c>
      <c r="N394" s="99">
        <v>0.24223822368068215</v>
      </c>
      <c r="O394" s="25">
        <f t="shared" si="130"/>
        <v>0.18130271810609377</v>
      </c>
      <c r="P394" s="14">
        <f>IFERROR(IF(OR(B394&amp;C394="PAU",B394&amp;C394="AIN"),VLOOKUP(B394&amp;C394&amp;G394,#REF!,8,0),VLOOKUP(B394&amp;G394,#REF!,8,0)),0)</f>
        <v>0</v>
      </c>
      <c r="Q394" s="15">
        <f t="shared" si="133"/>
        <v>0.24223822368068215</v>
      </c>
      <c r="R394" s="16" t="str">
        <f t="shared" si="134"/>
        <v>AOP</v>
      </c>
      <c r="S394" s="17">
        <f t="shared" si="140"/>
        <v>9047.3481491030871</v>
      </c>
      <c r="T394" s="18" t="e">
        <f t="shared" si="135"/>
        <v>#DIV/0!</v>
      </c>
      <c r="U394" s="23" t="e">
        <f t="shared" si="136"/>
        <v>#DIV/0!</v>
      </c>
      <c r="Y394" s="8" t="str">
        <f t="shared" ref="Y394:Y399" si="141">B394&amp;C394&amp;F394&amp;H394</f>
        <v>PAUH68523H2.5XT</v>
      </c>
      <c r="Z394" s="8" t="str">
        <f>IF(Y394='Input - Bookings'!Q627,"OK","Check")</f>
        <v>Check</v>
      </c>
      <c r="AA394" s="139" t="s">
        <v>1686</v>
      </c>
      <c r="AB394" s="103"/>
      <c r="AC394" s="103"/>
      <c r="AD394" s="100">
        <v>17229.688957156177</v>
      </c>
      <c r="AE394" s="110"/>
      <c r="AF394" s="8" t="str">
        <f t="array" ref="AF394">_xlfn.XLOOKUP($G394,'AP Plants'!D:D,'AP Plants'!B:B)</f>
        <v>Class 5 NOT BT</v>
      </c>
      <c r="AG394" s="102">
        <f>AD394*'Currency &amp; Conversion'!$L$6</f>
        <v>25658.452794996982</v>
      </c>
      <c r="AH394" s="102"/>
      <c r="AI394" s="44">
        <v>1.4999999999999999E-2</v>
      </c>
      <c r="AJ394" s="15">
        <f>_xlfn.XLOOKUP($AF394,Warranty!B:B,Warranty!E:E)</f>
        <v>5.0000000000000001E-3</v>
      </c>
      <c r="AK394" s="8">
        <f>IF($I394="AUD",VLOOKUP(RIGHT('Wk - Margins'!$G394,3),'AU Freight'!C:G,5,0),0)</f>
        <v>2130</v>
      </c>
      <c r="AL394" s="15">
        <f t="shared" si="137"/>
        <v>0</v>
      </c>
      <c r="AM394" s="61">
        <f t="shared" si="139"/>
        <v>28301.621850896914</v>
      </c>
      <c r="AN394" s="63">
        <f t="shared" si="138"/>
        <v>0.24223822368068215</v>
      </c>
      <c r="AQ394" s="147"/>
    </row>
    <row r="395" spans="1:43">
      <c r="A395" s="10" t="str">
        <f>'Input - Bookings'!A395</f>
        <v>10-26</v>
      </c>
      <c r="B395" s="11" t="str">
        <f>'Input - Bookings'!C395</f>
        <v>P</v>
      </c>
      <c r="C395" s="11" t="str">
        <f>'Input - Bookings'!H395</f>
        <v>AU</v>
      </c>
      <c r="D395" s="24" t="str">
        <f>'Input - Bookings'!E395</f>
        <v>065</v>
      </c>
      <c r="E395" s="24" t="str">
        <f>'Input - Bookings'!G395</f>
        <v>DUMMY MA AUSTRALIA</v>
      </c>
      <c r="F395" s="24" t="str">
        <f>'Input - Bookings'!I395</f>
        <v>H68518</v>
      </c>
      <c r="G395" s="24" t="str">
        <f>'Input - Bookings'!L395</f>
        <v>U005</v>
      </c>
      <c r="H395" s="24" t="str">
        <f>'Input - Bookings'!M395</f>
        <v>H5.5FT</v>
      </c>
      <c r="I395" s="24" t="str">
        <f>'Input - Bookings'!B395</f>
        <v>AUD</v>
      </c>
      <c r="J395" s="13" t="str">
        <f>IF(I395="USD",INDEX('AP Plants'!A:A,MATCH(G395,'AP Plants'!D:D,0)),INDEX('Australia Plants'!A:A,MATCH(G395,'Australia Plants'!D:D,0)))</f>
        <v>Craigavon</v>
      </c>
      <c r="K395" s="73">
        <v>1</v>
      </c>
      <c r="L395" s="97">
        <v>119355</v>
      </c>
      <c r="M395" s="97">
        <v>97871.1</v>
      </c>
      <c r="N395" s="99">
        <v>0.29016419509335034</v>
      </c>
      <c r="O395" s="25">
        <f t="shared" si="130"/>
        <v>0.17999999999999994</v>
      </c>
      <c r="P395" s="14">
        <f>IFERROR(IF(OR(B395&amp;C395="PAU",B395&amp;C395="AIN"),VLOOKUP(B395&amp;C395&amp;G395,#REF!,8,0),VLOOKUP(B395&amp;G395,#REF!,8,0)),0)</f>
        <v>0</v>
      </c>
      <c r="Q395" s="15">
        <f t="shared" si="133"/>
        <v>0.29016419509335034</v>
      </c>
      <c r="R395" s="16" t="str">
        <f t="shared" si="134"/>
        <v>AOP</v>
      </c>
      <c r="S395" s="17">
        <f t="shared" si="140"/>
        <v>28398.688954400801</v>
      </c>
      <c r="T395" s="18" t="e">
        <f t="shared" si="135"/>
        <v>#DIV/0!</v>
      </c>
      <c r="U395" s="23" t="e">
        <f t="shared" si="136"/>
        <v>#DIV/0!</v>
      </c>
      <c r="Y395" s="8" t="str">
        <f t="shared" si="141"/>
        <v>PAUH68518H5.5FT</v>
      </c>
      <c r="Z395" s="8" t="str">
        <f>IF(Y395='Input - Bookings'!Q628,"OK","Check")</f>
        <v>Check</v>
      </c>
      <c r="AA395" s="139"/>
      <c r="AB395" s="103">
        <v>5465.3</v>
      </c>
      <c r="AC395" s="103">
        <v>0</v>
      </c>
      <c r="AD395" s="100"/>
      <c r="AE395" s="110">
        <v>36869.65</v>
      </c>
      <c r="AF395" s="8" t="str">
        <f t="array" ref="AF395">_xlfn.XLOOKUP($G395,'AP Plants'!D:D,'AP Plants'!B:B)</f>
        <v>Class 5 NOT BT</v>
      </c>
      <c r="AG395" s="102">
        <f>(AE395*(1+VLOOKUP(J395,'Currency &amp; Conversion'!$F$12:$I$18,2,0))*'Currency &amp; Conversion'!$L$4)+((AB395+AC395)*90%)</f>
        <v>64325.893181960011</v>
      </c>
      <c r="AH395" s="102"/>
      <c r="AI395" s="44">
        <v>1.4999999999999999E-2</v>
      </c>
      <c r="AJ395" s="15">
        <f>_xlfn.XLOOKUP($AF395,Warranty!B:B,Warranty!E:E)</f>
        <v>5.0000000000000001E-3</v>
      </c>
      <c r="AK395" s="8">
        <f>IF($I395="AUD",VLOOKUP(RIGHT('Wk - Margins'!$G395,3),'AU Freight'!C:G,5,0),0)</f>
        <v>3860</v>
      </c>
      <c r="AL395" s="15">
        <f t="shared" si="137"/>
        <v>0</v>
      </c>
      <c r="AM395" s="61">
        <f t="shared" si="139"/>
        <v>69472.411045599205</v>
      </c>
      <c r="AN395" s="63">
        <f t="shared" si="138"/>
        <v>0.29016419509335034</v>
      </c>
      <c r="AQ395" s="147"/>
    </row>
    <row r="396" spans="1:43">
      <c r="A396" s="10" t="str">
        <f>'Input - Bookings'!A396</f>
        <v>10-26</v>
      </c>
      <c r="B396" s="11" t="str">
        <f>'Input - Bookings'!C396</f>
        <v>P</v>
      </c>
      <c r="C396" s="11" t="str">
        <f>'Input - Bookings'!H396</f>
        <v>NZ</v>
      </c>
      <c r="D396" s="24" t="str">
        <f>'Input - Bookings'!E396</f>
        <v>067</v>
      </c>
      <c r="E396" s="24" t="str">
        <f>'Input - Bookings'!G396</f>
        <v>S.G EQUIPMENT LTD</v>
      </c>
      <c r="F396" s="24" t="str">
        <f>'Input - Bookings'!I396</f>
        <v>H68469</v>
      </c>
      <c r="G396" s="24" t="str">
        <f>'Input - Bookings'!L396</f>
        <v>A7S1</v>
      </c>
      <c r="H396" s="24" t="str">
        <f>'Input - Bookings'!M396</f>
        <v>GP30UX</v>
      </c>
      <c r="I396" s="24" t="str">
        <f>'Input - Bookings'!B396</f>
        <v>USD</v>
      </c>
      <c r="J396" s="13" t="str">
        <f>IF(I396="USD",INDEX('AP Plants'!A:A,MATCH(G396,'AP Plants'!D:D,0)),INDEX('Australia Plants'!A:A,MATCH(G396,'Australia Plants'!D:D,0)))</f>
        <v>Maximal</v>
      </c>
      <c r="K396" s="73">
        <v>1</v>
      </c>
      <c r="L396" s="97">
        <v>21895</v>
      </c>
      <c r="M396" s="97">
        <v>14788.4</v>
      </c>
      <c r="N396" s="99">
        <v>0.24528353908810618</v>
      </c>
      <c r="O396" s="25">
        <f t="shared" si="130"/>
        <v>0.32457638730303728</v>
      </c>
      <c r="P396" s="14">
        <f>IFERROR(IF(OR(B396&amp;C396="PAU",B396&amp;C396="AIN"),VLOOKUP(B396&amp;C396&amp;G396,#REF!,8,0),VLOOKUP(B396&amp;G396,#REF!,8,0)),0)</f>
        <v>0</v>
      </c>
      <c r="Q396" s="15">
        <f t="shared" si="133"/>
        <v>0.24528353908810618</v>
      </c>
      <c r="R396" s="16" t="str">
        <f t="shared" si="134"/>
        <v>AOP</v>
      </c>
      <c r="S396" s="17">
        <f t="shared" si="140"/>
        <v>3627.3510894505494</v>
      </c>
      <c r="T396" s="18">
        <f t="shared" si="135"/>
        <v>3627.3510894505494</v>
      </c>
      <c r="U396" s="23">
        <f t="shared" si="136"/>
        <v>14788.4</v>
      </c>
      <c r="Y396" s="8" t="str">
        <f t="shared" si="141"/>
        <v>PNZH68469GP30UX</v>
      </c>
      <c r="Z396" s="8" t="str">
        <f>IF(Y396='Input - Bookings'!Q629,"OK","Check")</f>
        <v>Check</v>
      </c>
      <c r="AA396" s="118"/>
      <c r="AB396" s="103"/>
      <c r="AC396" s="103"/>
      <c r="AD396" s="100">
        <v>10942.204814264169</v>
      </c>
      <c r="AE396" s="100"/>
      <c r="AF396" s="8" t="str">
        <f t="array" ref="AF396">_xlfn.XLOOKUP($G396,'AP Plants'!D:D,'AP Plants'!B:B)</f>
        <v>Class 5 NOT BT</v>
      </c>
      <c r="AG396" s="102"/>
      <c r="AH396" s="102">
        <f t="shared" ref="AH396:AH405" si="142">AD396</f>
        <v>10942.204814264169</v>
      </c>
      <c r="AI396" s="44">
        <v>1.4999999999999999E-2</v>
      </c>
      <c r="AJ396" s="15">
        <f>_xlfn.XLOOKUP($AF396,Warranty!B:B,Warranty!E:E)</f>
        <v>5.0000000000000001E-3</v>
      </c>
      <c r="AK396" s="8">
        <f>IF($I396="AUD",VLOOKUP(RIGHT('Wk - Margins'!$G396,3),'AU Freight'!C:G,5,0),0)</f>
        <v>0</v>
      </c>
      <c r="AL396" s="15">
        <f t="shared" si="137"/>
        <v>0</v>
      </c>
      <c r="AM396" s="61">
        <f t="shared" si="139"/>
        <v>11161.048910549451</v>
      </c>
      <c r="AN396" s="63">
        <f t="shared" si="138"/>
        <v>0.24528353908810618</v>
      </c>
      <c r="AQ396" s="147"/>
    </row>
    <row r="397" spans="1:43">
      <c r="A397" s="10" t="str">
        <f>'Input - Bookings'!A397</f>
        <v>10-26</v>
      </c>
      <c r="B397" s="11" t="str">
        <f>'Input - Bookings'!C397</f>
        <v>P</v>
      </c>
      <c r="C397" s="11" t="str">
        <f>'Input - Bookings'!H397</f>
        <v>NZ</v>
      </c>
      <c r="D397" s="24" t="str">
        <f>'Input - Bookings'!E397</f>
        <v>067</v>
      </c>
      <c r="E397" s="24" t="str">
        <f>'Input - Bookings'!G397</f>
        <v>S.G EQUIPMENT LTD</v>
      </c>
      <c r="F397" s="24" t="str">
        <f>'Input - Bookings'!I397</f>
        <v>H68470</v>
      </c>
      <c r="G397" s="24" t="str">
        <f>'Input - Bookings'!L397</f>
        <v>A7S1</v>
      </c>
      <c r="H397" s="24" t="str">
        <f>'Input - Bookings'!M397</f>
        <v>GP30UX</v>
      </c>
      <c r="I397" s="24" t="str">
        <f>'Input - Bookings'!B397</f>
        <v>USD</v>
      </c>
      <c r="J397" s="13" t="str">
        <f>IF(I397="USD",INDEX('AP Plants'!A:A,MATCH(G397,'AP Plants'!D:D,0)),INDEX('Australia Plants'!A:A,MATCH(G397,'Australia Plants'!D:D,0)))</f>
        <v>Maximal</v>
      </c>
      <c r="K397" s="73">
        <v>1</v>
      </c>
      <c r="L397" s="97">
        <v>21895</v>
      </c>
      <c r="M397" s="97">
        <v>14788.4</v>
      </c>
      <c r="N397" s="99">
        <v>0.24528353908810618</v>
      </c>
      <c r="O397" s="25">
        <f t="shared" si="130"/>
        <v>0.32457638730303728</v>
      </c>
      <c r="P397" s="14">
        <f>IFERROR(IF(OR(B397&amp;C397="PAU",B397&amp;C397="AIN"),VLOOKUP(B397&amp;C397&amp;G397,#REF!,8,0),VLOOKUP(B397&amp;G397,#REF!,8,0)),0)</f>
        <v>0</v>
      </c>
      <c r="Q397" s="15">
        <f t="shared" si="133"/>
        <v>0.24528353908810618</v>
      </c>
      <c r="R397" s="16" t="str">
        <f t="shared" si="134"/>
        <v>AOP</v>
      </c>
      <c r="S397" s="17">
        <f t="shared" si="140"/>
        <v>3627.3510894505494</v>
      </c>
      <c r="T397" s="18">
        <f t="shared" si="135"/>
        <v>3627.3510894505494</v>
      </c>
      <c r="U397" s="23">
        <f t="shared" si="136"/>
        <v>14788.4</v>
      </c>
      <c r="Y397" s="8" t="str">
        <f t="shared" si="141"/>
        <v>PNZH68470GP30UX</v>
      </c>
      <c r="Z397" s="8" t="str">
        <f>IF(Y397='Input - Bookings'!Q630,"OK","Check")</f>
        <v>Check</v>
      </c>
      <c r="AA397" s="118"/>
      <c r="AB397" s="103"/>
      <c r="AC397" s="103"/>
      <c r="AD397" s="100">
        <v>10942.204814264169</v>
      </c>
      <c r="AE397" s="100"/>
      <c r="AF397" s="8" t="str">
        <f t="array" ref="AF397">_xlfn.XLOOKUP($G397,'AP Plants'!D:D,'AP Plants'!B:B)</f>
        <v>Class 5 NOT BT</v>
      </c>
      <c r="AG397" s="102"/>
      <c r="AH397" s="102">
        <f t="shared" si="142"/>
        <v>10942.204814264169</v>
      </c>
      <c r="AI397" s="44">
        <v>1.4999999999999999E-2</v>
      </c>
      <c r="AJ397" s="15">
        <f>_xlfn.XLOOKUP($AF397,Warranty!B:B,Warranty!E:E)</f>
        <v>5.0000000000000001E-3</v>
      </c>
      <c r="AK397" s="8">
        <f>IF($I397="AUD",VLOOKUP(RIGHT('Wk - Margins'!$G397,3),'AU Freight'!C:G,5,0),0)</f>
        <v>0</v>
      </c>
      <c r="AL397" s="15">
        <f t="shared" si="137"/>
        <v>0</v>
      </c>
      <c r="AM397" s="61">
        <f t="shared" si="139"/>
        <v>11161.048910549451</v>
      </c>
      <c r="AN397" s="63">
        <f t="shared" si="138"/>
        <v>0.24528353908810618</v>
      </c>
      <c r="AQ397" s="147"/>
    </row>
    <row r="398" spans="1:43">
      <c r="A398" s="10" t="str">
        <f>'Input - Bookings'!A398</f>
        <v>10-26</v>
      </c>
      <c r="B398" s="11" t="str">
        <f>'Input - Bookings'!C398</f>
        <v>P</v>
      </c>
      <c r="C398" s="11" t="str">
        <f>'Input - Bookings'!H398</f>
        <v>NZ</v>
      </c>
      <c r="D398" s="24" t="str">
        <f>'Input - Bookings'!E398</f>
        <v>067</v>
      </c>
      <c r="E398" s="24" t="str">
        <f>'Input - Bookings'!G398</f>
        <v>S.G EQUIPMENT LTD</v>
      </c>
      <c r="F398" s="24" t="str">
        <f>'Input - Bookings'!I398</f>
        <v>H68471</v>
      </c>
      <c r="G398" s="24" t="str">
        <f>'Input - Bookings'!L398</f>
        <v>A7S1</v>
      </c>
      <c r="H398" s="24" t="str">
        <f>'Input - Bookings'!M398</f>
        <v>GP35UX</v>
      </c>
      <c r="I398" s="24" t="str">
        <f>'Input - Bookings'!B398</f>
        <v>USD</v>
      </c>
      <c r="J398" s="13" t="str">
        <f>IF(I398="USD",INDEX('AP Plants'!A:A,MATCH(G398,'AP Plants'!D:D,0)),INDEX('Australia Plants'!A:A,MATCH(G398,'Australia Plants'!D:D,0)))</f>
        <v>Maximal</v>
      </c>
      <c r="K398" s="73">
        <v>1</v>
      </c>
      <c r="L398" s="97">
        <v>23225</v>
      </c>
      <c r="M398" s="97">
        <v>15624.5</v>
      </c>
      <c r="N398" s="99">
        <v>0.27868146402394423</v>
      </c>
      <c r="O398" s="25">
        <f t="shared" si="130"/>
        <v>0.32725511302475785</v>
      </c>
      <c r="P398" s="14">
        <f>IFERROR(IF(OR(B398&amp;C398="PAU",B398&amp;C398="AIN"),VLOOKUP(B398&amp;C398&amp;G398,#REF!,8,0),VLOOKUP(B398&amp;G398,#REF!,8,0)),0)</f>
        <v>0</v>
      </c>
      <c r="Q398" s="15">
        <f t="shared" si="133"/>
        <v>0.27868146402394423</v>
      </c>
      <c r="R398" s="16" t="str">
        <f t="shared" si="134"/>
        <v>AOP</v>
      </c>
      <c r="S398" s="17">
        <f t="shared" si="140"/>
        <v>4354.2585346421165</v>
      </c>
      <c r="T398" s="18">
        <f t="shared" si="135"/>
        <v>4354.2585346421165</v>
      </c>
      <c r="U398" s="23">
        <f t="shared" si="136"/>
        <v>15624.5</v>
      </c>
      <c r="Y398" s="8" t="str">
        <f t="shared" si="141"/>
        <v>PNZH68471GP35UX</v>
      </c>
      <c r="Z398" s="8" t="str">
        <f>IF(Y398='Input - Bookings'!Q631,"OK","Check")</f>
        <v>Check</v>
      </c>
      <c r="AA398" s="118"/>
      <c r="AB398" s="103"/>
      <c r="AC398" s="103"/>
      <c r="AD398" s="100">
        <v>11049.256338586163</v>
      </c>
      <c r="AE398" s="100"/>
      <c r="AF398" s="8" t="str">
        <f t="array" ref="AF398">_xlfn.XLOOKUP($G398,'AP Plants'!D:D,'AP Plants'!B:B)</f>
        <v>Class 5 NOT BT</v>
      </c>
      <c r="AG398" s="102"/>
      <c r="AH398" s="102">
        <f t="shared" si="142"/>
        <v>11049.256338586163</v>
      </c>
      <c r="AI398" s="44">
        <v>1.4999999999999999E-2</v>
      </c>
      <c r="AJ398" s="15">
        <f>_xlfn.XLOOKUP($AF398,Warranty!B:B,Warranty!E:E)</f>
        <v>5.0000000000000001E-3</v>
      </c>
      <c r="AK398" s="8">
        <f>IF($I398="AUD",VLOOKUP(RIGHT('Wk - Margins'!$G398,3),'AU Freight'!C:G,5,0),0)</f>
        <v>0</v>
      </c>
      <c r="AL398" s="15">
        <f t="shared" si="137"/>
        <v>0</v>
      </c>
      <c r="AM398" s="61">
        <f t="shared" si="139"/>
        <v>11270.241465357883</v>
      </c>
      <c r="AN398" s="63">
        <f t="shared" si="138"/>
        <v>0.27868146402394423</v>
      </c>
      <c r="AQ398" s="147"/>
    </row>
    <row r="399" spans="1:43">
      <c r="A399" s="10" t="str">
        <f>'Input - Bookings'!A399</f>
        <v>10-26</v>
      </c>
      <c r="B399" s="11" t="str">
        <f>'Input - Bookings'!C399</f>
        <v>P</v>
      </c>
      <c r="C399" s="11" t="str">
        <f>'Input - Bookings'!H399</f>
        <v>NZ</v>
      </c>
      <c r="D399" s="24" t="str">
        <f>'Input - Bookings'!E399</f>
        <v>067</v>
      </c>
      <c r="E399" s="24" t="str">
        <f>'Input - Bookings'!G399</f>
        <v>S.G EQUIPMENT LTD</v>
      </c>
      <c r="F399" s="24" t="str">
        <f>'Input - Bookings'!I399</f>
        <v>H68472</v>
      </c>
      <c r="G399" s="24" t="str">
        <f>'Input - Bookings'!L399</f>
        <v>A7S1</v>
      </c>
      <c r="H399" s="24" t="str">
        <f>'Input - Bookings'!M399</f>
        <v>GP35UX</v>
      </c>
      <c r="I399" s="24" t="str">
        <f>'Input - Bookings'!B399</f>
        <v>USD</v>
      </c>
      <c r="J399" s="13" t="str">
        <f>IF(I399="USD",INDEX('AP Plants'!A:A,MATCH(G399,'AP Plants'!D:D,0)),INDEX('Australia Plants'!A:A,MATCH(G399,'Australia Plants'!D:D,0)))</f>
        <v>Maximal</v>
      </c>
      <c r="K399" s="73">
        <v>1</v>
      </c>
      <c r="L399" s="97">
        <v>23225</v>
      </c>
      <c r="M399" s="97">
        <v>15624.5</v>
      </c>
      <c r="N399" s="99">
        <v>0.27868146402394423</v>
      </c>
      <c r="O399" s="25">
        <f t="shared" si="130"/>
        <v>0.32725511302475785</v>
      </c>
      <c r="P399" s="14">
        <f>IFERROR(IF(OR(B399&amp;C399="PAU",B399&amp;C399="AIN"),VLOOKUP(B399&amp;C399&amp;G399,#REF!,8,0),VLOOKUP(B399&amp;G399,#REF!,8,0)),0)</f>
        <v>0</v>
      </c>
      <c r="Q399" s="15">
        <f t="shared" si="133"/>
        <v>0.27868146402394423</v>
      </c>
      <c r="R399" s="16" t="str">
        <f t="shared" si="134"/>
        <v>AOP</v>
      </c>
      <c r="S399" s="17">
        <f t="shared" si="140"/>
        <v>4354.2585346421165</v>
      </c>
      <c r="T399" s="18">
        <f t="shared" si="135"/>
        <v>4354.2585346421165</v>
      </c>
      <c r="U399" s="23">
        <f t="shared" si="136"/>
        <v>15624.5</v>
      </c>
      <c r="Y399" s="8" t="str">
        <f t="shared" si="141"/>
        <v>PNZH68472GP35UX</v>
      </c>
      <c r="Z399" s="8" t="str">
        <f>IF(Y399='Input - Bookings'!Q632,"OK","Check")</f>
        <v>Check</v>
      </c>
      <c r="AA399" s="118"/>
      <c r="AB399" s="103"/>
      <c r="AC399" s="103"/>
      <c r="AD399" s="100">
        <v>11049.256338586163</v>
      </c>
      <c r="AE399" s="100"/>
      <c r="AF399" s="8" t="str">
        <f t="array" ref="AF399">_xlfn.XLOOKUP($G399,'AP Plants'!D:D,'AP Plants'!B:B)</f>
        <v>Class 5 NOT BT</v>
      </c>
      <c r="AG399" s="102"/>
      <c r="AH399" s="102">
        <f t="shared" si="142"/>
        <v>11049.256338586163</v>
      </c>
      <c r="AI399" s="44">
        <v>1.4999999999999999E-2</v>
      </c>
      <c r="AJ399" s="15">
        <f>_xlfn.XLOOKUP($AF399,Warranty!B:B,Warranty!E:E)</f>
        <v>5.0000000000000001E-3</v>
      </c>
      <c r="AK399" s="8">
        <f>IF($I399="AUD",VLOOKUP(RIGHT('Wk - Margins'!$G399,3),'AU Freight'!C:G,5,0),0)</f>
        <v>0</v>
      </c>
      <c r="AL399" s="15">
        <f t="shared" si="137"/>
        <v>0</v>
      </c>
      <c r="AM399" s="61">
        <f t="shared" si="139"/>
        <v>11270.241465357883</v>
      </c>
      <c r="AN399" s="63">
        <f t="shared" si="138"/>
        <v>0.27868146402394423</v>
      </c>
      <c r="AQ399" s="147"/>
    </row>
    <row r="400" spans="1:43">
      <c r="A400" s="10" t="str">
        <f>'Input - Bookings'!A400</f>
        <v>10-26</v>
      </c>
      <c r="B400" s="11" t="str">
        <f>'Input - Bookings'!C400</f>
        <v>P</v>
      </c>
      <c r="C400" s="11" t="str">
        <f>'Input - Bookings'!H400</f>
        <v>NZ</v>
      </c>
      <c r="D400" s="24" t="str">
        <f>'Input - Bookings'!E400</f>
        <v>067</v>
      </c>
      <c r="E400" s="24" t="str">
        <f>'Input - Bookings'!G400</f>
        <v>S.G EQUIPMENT LTD</v>
      </c>
      <c r="F400" s="24" t="str">
        <f>'Input - Bookings'!I400</f>
        <v>H68473</v>
      </c>
      <c r="G400" s="24" t="str">
        <f>'Input - Bookings'!L400</f>
        <v>C900</v>
      </c>
      <c r="H400" s="24" t="str">
        <f>'Input - Bookings'!M400</f>
        <v>FBR13SZ</v>
      </c>
      <c r="I400" s="24" t="str">
        <f>'Input - Bookings'!B400</f>
        <v>USD</v>
      </c>
      <c r="J400" s="13" t="str">
        <f>IF(I400="USD",INDEX('AP Plants'!A:A,MATCH(G400,'AP Plants'!D:D,0)),INDEX('Australia Plants'!A:A,MATCH(G400,'Australia Plants'!D:D,0)))</f>
        <v>SN</v>
      </c>
      <c r="K400" s="73">
        <v>1</v>
      </c>
      <c r="L400" s="97">
        <v>25565</v>
      </c>
      <c r="M400" s="97">
        <v>17839.024999999998</v>
      </c>
      <c r="N400" s="99">
        <v>0.29478435547131021</v>
      </c>
      <c r="O400" s="25">
        <f t="shared" si="130"/>
        <v>0.30220907490709958</v>
      </c>
      <c r="P400" s="14">
        <f>IFERROR(IF(OR(B400&amp;C400="PAU",B400&amp;C400="AIN"),VLOOKUP(B400&amp;C400&amp;G400,#REF!,8,0),VLOOKUP(B400&amp;G400,#REF!,8,0)),0)</f>
        <v>0</v>
      </c>
      <c r="Q400" s="15">
        <f t="shared" si="133"/>
        <v>0.29478435547131021</v>
      </c>
      <c r="R400" s="16" t="str">
        <f t="shared" si="134"/>
        <v>AOP</v>
      </c>
      <c r="S400" s="17">
        <f t="shared" si="140"/>
        <v>5258.6654868615888</v>
      </c>
      <c r="T400" s="18">
        <f t="shared" si="135"/>
        <v>5258.6654868615888</v>
      </c>
      <c r="U400" s="23">
        <f t="shared" si="136"/>
        <v>17839.024999999998</v>
      </c>
      <c r="Y400" s="8" t="str">
        <f t="shared" ref="Y400:Y404" si="143">B400&amp;C400&amp;F400&amp;H400</f>
        <v>PNZH68473FBR13SZ</v>
      </c>
      <c r="Z400" s="8" t="str">
        <f>IF(Y400='Input - Bookings'!Q633,"OK","Check")</f>
        <v>Check</v>
      </c>
      <c r="AA400" s="118"/>
      <c r="AB400" s="103"/>
      <c r="AC400" s="103"/>
      <c r="AD400" s="100">
        <v>12213.94127489166</v>
      </c>
      <c r="AE400" s="100"/>
      <c r="AF400" s="8" t="str">
        <f t="array" ref="AF400">_xlfn.XLOOKUP($G400,'AP Plants'!D:D,'AP Plants'!B:B)</f>
        <v>Class 2</v>
      </c>
      <c r="AG400" s="102"/>
      <c r="AH400" s="102">
        <f t="shared" si="142"/>
        <v>12213.94127489166</v>
      </c>
      <c r="AI400" s="44">
        <v>1.4999999999999999E-2</v>
      </c>
      <c r="AJ400" s="15">
        <f>_xlfn.XLOOKUP($AF400,Warranty!B:B,Warranty!E:E)</f>
        <v>1.4999999999999999E-2</v>
      </c>
      <c r="AK400" s="8">
        <f>IF($I400="AUD",VLOOKUP(RIGHT('Wk - Margins'!$G400,3),'AU Freight'!C:G,5,0),0)</f>
        <v>0</v>
      </c>
      <c r="AL400" s="15">
        <f t="shared" si="137"/>
        <v>0</v>
      </c>
      <c r="AM400" s="61">
        <f t="shared" si="139"/>
        <v>12580.359513138408</v>
      </c>
      <c r="AN400" s="63">
        <f t="shared" si="138"/>
        <v>0.29478435547131021</v>
      </c>
      <c r="AQ400" s="147"/>
    </row>
    <row r="401" spans="1:43">
      <c r="A401" s="10" t="str">
        <f>'Input - Bookings'!A401</f>
        <v>10-26</v>
      </c>
      <c r="B401" s="11" t="str">
        <f>'Input - Bookings'!C401</f>
        <v>P</v>
      </c>
      <c r="C401" s="11" t="str">
        <f>'Input - Bookings'!H401</f>
        <v>NZ</v>
      </c>
      <c r="D401" s="24" t="str">
        <f>'Input - Bookings'!E401</f>
        <v>067</v>
      </c>
      <c r="E401" s="24" t="str">
        <f>'Input - Bookings'!G401</f>
        <v>S.G EQUIPMENT LTD</v>
      </c>
      <c r="F401" s="24" t="str">
        <f>'Input - Bookings'!I401</f>
        <v>H68474</v>
      </c>
      <c r="G401" s="24" t="str">
        <f>'Input - Bookings'!L401</f>
        <v>C900</v>
      </c>
      <c r="H401" s="24" t="str">
        <f>'Input - Bookings'!M401</f>
        <v>FBR13SZ</v>
      </c>
      <c r="I401" s="24" t="str">
        <f>'Input - Bookings'!B401</f>
        <v>USD</v>
      </c>
      <c r="J401" s="13" t="str">
        <f>IF(I401="USD",INDEX('AP Plants'!A:A,MATCH(G401,'AP Plants'!D:D,0)),INDEX('Australia Plants'!A:A,MATCH(G401,'Australia Plants'!D:D,0)))</f>
        <v>SN</v>
      </c>
      <c r="K401" s="73">
        <v>1</v>
      </c>
      <c r="L401" s="97">
        <v>25565</v>
      </c>
      <c r="M401" s="97">
        <v>17839.024999999998</v>
      </c>
      <c r="N401" s="99">
        <v>0.29478435547131021</v>
      </c>
      <c r="O401" s="25">
        <f t="shared" si="130"/>
        <v>0.30220907490709958</v>
      </c>
      <c r="P401" s="14">
        <f>IFERROR(IF(OR(B401&amp;C401="PAU",B401&amp;C401="AIN"),VLOOKUP(B401&amp;C401&amp;G401,#REF!,8,0),VLOOKUP(B401&amp;G401,#REF!,8,0)),0)</f>
        <v>0</v>
      </c>
      <c r="Q401" s="15">
        <f t="shared" si="133"/>
        <v>0.29478435547131021</v>
      </c>
      <c r="R401" s="16" t="str">
        <f t="shared" si="134"/>
        <v>AOP</v>
      </c>
      <c r="S401" s="17">
        <f t="shared" si="140"/>
        <v>5258.6654868615888</v>
      </c>
      <c r="T401" s="18">
        <f t="shared" si="135"/>
        <v>5258.6654868615888</v>
      </c>
      <c r="U401" s="23">
        <f t="shared" si="136"/>
        <v>17839.024999999998</v>
      </c>
      <c r="Y401" s="8" t="str">
        <f t="shared" si="143"/>
        <v>PNZH68474FBR13SZ</v>
      </c>
      <c r="Z401" s="8" t="str">
        <f>IF(Y401='Input - Bookings'!Q634,"OK","Check")</f>
        <v>Check</v>
      </c>
      <c r="AA401" s="118"/>
      <c r="AB401" s="103"/>
      <c r="AC401" s="103"/>
      <c r="AD401" s="100">
        <v>12213.94127489166</v>
      </c>
      <c r="AE401" s="110"/>
      <c r="AF401" s="8" t="str">
        <f t="array" ref="AF401">_xlfn.XLOOKUP($G401,'AP Plants'!D:D,'AP Plants'!B:B)</f>
        <v>Class 2</v>
      </c>
      <c r="AG401" s="102"/>
      <c r="AH401" s="102">
        <f t="shared" si="142"/>
        <v>12213.94127489166</v>
      </c>
      <c r="AI401" s="44">
        <v>1.4999999999999999E-2</v>
      </c>
      <c r="AJ401" s="15">
        <f>_xlfn.XLOOKUP($AF401,Warranty!B:B,Warranty!E:E)</f>
        <v>1.4999999999999999E-2</v>
      </c>
      <c r="AK401" s="8">
        <f>IF($I401="AUD",VLOOKUP(RIGHT('Wk - Margins'!$G401,3),'AU Freight'!C:G,5,0),0)</f>
        <v>0</v>
      </c>
      <c r="AL401" s="15">
        <f t="shared" si="137"/>
        <v>0</v>
      </c>
      <c r="AM401" s="61">
        <f t="shared" si="139"/>
        <v>12580.359513138408</v>
      </c>
      <c r="AN401" s="63">
        <f t="shared" si="138"/>
        <v>0.29478435547131021</v>
      </c>
      <c r="AQ401" s="147"/>
    </row>
    <row r="402" spans="1:43">
      <c r="A402" s="10" t="str">
        <f>'Input - Bookings'!A402</f>
        <v>10-26</v>
      </c>
      <c r="B402" s="11" t="str">
        <f>'Input - Bookings'!C402</f>
        <v>P</v>
      </c>
      <c r="C402" s="11" t="str">
        <f>'Input - Bookings'!H402</f>
        <v>NZ</v>
      </c>
      <c r="D402" s="24" t="str">
        <f>'Input - Bookings'!E402</f>
        <v>067</v>
      </c>
      <c r="E402" s="24" t="str">
        <f>'Input - Bookings'!G402</f>
        <v>S.G EQUIPMENT LTD</v>
      </c>
      <c r="F402" s="24" t="str">
        <f>'Input - Bookings'!I402</f>
        <v>H68475</v>
      </c>
      <c r="G402" s="24" t="str">
        <f>'Input - Bookings'!L402</f>
        <v>C900</v>
      </c>
      <c r="H402" s="24" t="str">
        <f>'Input - Bookings'!M402</f>
        <v>FBR13SZ</v>
      </c>
      <c r="I402" s="24" t="str">
        <f>'Input - Bookings'!B402</f>
        <v>USD</v>
      </c>
      <c r="J402" s="13" t="str">
        <f>IF(I402="USD",INDEX('AP Plants'!A:A,MATCH(G402,'AP Plants'!D:D,0)),INDEX('Australia Plants'!A:A,MATCH(G402,'Australia Plants'!D:D,0)))</f>
        <v>SN</v>
      </c>
      <c r="K402" s="73">
        <v>1</v>
      </c>
      <c r="L402" s="97">
        <v>25915</v>
      </c>
      <c r="M402" s="97">
        <v>18096.274999999998</v>
      </c>
      <c r="N402" s="99">
        <v>0.29537986674889138</v>
      </c>
      <c r="O402" s="25">
        <f t="shared" si="130"/>
        <v>0.30170654061354441</v>
      </c>
      <c r="P402" s="14">
        <f>IFERROR(IF(OR(B402&amp;C402="PAU",B402&amp;C402="AIN"),VLOOKUP(B402&amp;C402&amp;G402,#REF!,8,0),VLOOKUP(B402&amp;G402,#REF!,8,0)),0)</f>
        <v>0</v>
      </c>
      <c r="Q402" s="15">
        <f t="shared" si="133"/>
        <v>0.29537986674889138</v>
      </c>
      <c r="R402" s="16" t="str">
        <f t="shared" si="134"/>
        <v>AOP</v>
      </c>
      <c r="S402" s="17">
        <f t="shared" si="140"/>
        <v>5345.275298151294</v>
      </c>
      <c r="T402" s="18">
        <f t="shared" si="135"/>
        <v>5345.275298151294</v>
      </c>
      <c r="U402" s="23">
        <f t="shared" si="136"/>
        <v>18096.274999999998</v>
      </c>
      <c r="Y402" s="8" t="str">
        <f t="shared" si="143"/>
        <v>PNZH68475FBR13SZ</v>
      </c>
      <c r="Z402" s="8" t="str">
        <f>IF(Y402='Input - Bookings'!Q635,"OK","Check")</f>
        <v>Check</v>
      </c>
      <c r="AA402" s="118"/>
      <c r="AB402" s="103"/>
      <c r="AC402" s="103"/>
      <c r="AD402" s="100">
        <v>12379.611361018162</v>
      </c>
      <c r="AE402" s="110"/>
      <c r="AF402" s="8" t="str">
        <f t="array" ref="AF402">_xlfn.XLOOKUP($G402,'AP Plants'!D:D,'AP Plants'!B:B)</f>
        <v>Class 2</v>
      </c>
      <c r="AG402" s="102"/>
      <c r="AH402" s="102">
        <f t="shared" si="142"/>
        <v>12379.611361018162</v>
      </c>
      <c r="AI402" s="44">
        <v>1.4999999999999999E-2</v>
      </c>
      <c r="AJ402" s="15">
        <f>_xlfn.XLOOKUP($AF402,Warranty!B:B,Warranty!E:E)</f>
        <v>1.4999999999999999E-2</v>
      </c>
      <c r="AK402" s="8">
        <f>IF($I402="AUD",VLOOKUP(RIGHT('Wk - Margins'!$G402,3),'AU Freight'!C:G,5,0),0)</f>
        <v>0</v>
      </c>
      <c r="AL402" s="15">
        <f t="shared" si="137"/>
        <v>0</v>
      </c>
      <c r="AM402" s="61">
        <f t="shared" si="139"/>
        <v>12750.999701848705</v>
      </c>
      <c r="AN402" s="63">
        <f t="shared" si="138"/>
        <v>0.29537986674889138</v>
      </c>
      <c r="AQ402" s="147"/>
    </row>
    <row r="403" spans="1:43">
      <c r="A403" s="10" t="str">
        <f>'Input - Bookings'!A403</f>
        <v>10-26</v>
      </c>
      <c r="B403" s="11" t="str">
        <f>'Input - Bookings'!C403</f>
        <v>P</v>
      </c>
      <c r="C403" s="11" t="str">
        <f>'Input - Bookings'!H403</f>
        <v>NZ</v>
      </c>
      <c r="D403" s="24" t="str">
        <f>'Input - Bookings'!E403</f>
        <v>067</v>
      </c>
      <c r="E403" s="24" t="str">
        <f>'Input - Bookings'!G403</f>
        <v>S.G EQUIPMENT LTD</v>
      </c>
      <c r="F403" s="24" t="str">
        <f>'Input - Bookings'!I403</f>
        <v>H68476</v>
      </c>
      <c r="G403" s="24" t="str">
        <f>'Input - Bookings'!L403</f>
        <v>C900</v>
      </c>
      <c r="H403" s="24" t="str">
        <f>'Input - Bookings'!M403</f>
        <v>FBR13SZ</v>
      </c>
      <c r="I403" s="24" t="str">
        <f>'Input - Bookings'!B403</f>
        <v>USD</v>
      </c>
      <c r="J403" s="13" t="str">
        <f>IF(I403="USD",INDEX('AP Plants'!A:A,MATCH(G403,'AP Plants'!D:D,0)),INDEX('Australia Plants'!A:A,MATCH(G403,'Australia Plants'!D:D,0)))</f>
        <v>SN</v>
      </c>
      <c r="K403" s="73">
        <v>1</v>
      </c>
      <c r="L403" s="97">
        <v>25915</v>
      </c>
      <c r="M403" s="97">
        <v>18096.274999999998</v>
      </c>
      <c r="N403" s="99">
        <v>0.29537986674889138</v>
      </c>
      <c r="O403" s="25">
        <f t="shared" si="130"/>
        <v>0.30170654061354441</v>
      </c>
      <c r="P403" s="14">
        <f>IFERROR(IF(OR(B403&amp;C403="PAU",B403&amp;C403="AIN"),VLOOKUP(B403&amp;C403&amp;G403,#REF!,8,0),VLOOKUP(B403&amp;G403,#REF!,8,0)),0)</f>
        <v>0</v>
      </c>
      <c r="Q403" s="15">
        <f t="shared" si="133"/>
        <v>0.29537986674889138</v>
      </c>
      <c r="R403" s="16" t="str">
        <f t="shared" si="134"/>
        <v>AOP</v>
      </c>
      <c r="S403" s="17">
        <f t="shared" si="140"/>
        <v>5345.275298151294</v>
      </c>
      <c r="T403" s="18">
        <f t="shared" si="135"/>
        <v>5345.275298151294</v>
      </c>
      <c r="U403" s="23">
        <f t="shared" si="136"/>
        <v>18096.274999999998</v>
      </c>
      <c r="Y403" s="8" t="str">
        <f t="shared" si="143"/>
        <v>PNZH68476FBR13SZ</v>
      </c>
      <c r="Z403" s="8" t="str">
        <f>IF(Y403='Input - Bookings'!Q636,"OK","Check")</f>
        <v>Check</v>
      </c>
      <c r="AA403" s="118"/>
      <c r="AB403" s="103"/>
      <c r="AC403" s="103"/>
      <c r="AD403" s="100">
        <v>12379.611361018162</v>
      </c>
      <c r="AE403" s="100"/>
      <c r="AF403" s="8" t="str">
        <f t="array" ref="AF403">_xlfn.XLOOKUP($G403,'AP Plants'!D:D,'AP Plants'!B:B)</f>
        <v>Class 2</v>
      </c>
      <c r="AG403" s="102"/>
      <c r="AH403" s="102">
        <f t="shared" si="142"/>
        <v>12379.611361018162</v>
      </c>
      <c r="AI403" s="44">
        <v>1.4999999999999999E-2</v>
      </c>
      <c r="AJ403" s="15">
        <f>_xlfn.XLOOKUP($AF403,Warranty!B:B,Warranty!E:E)</f>
        <v>1.4999999999999999E-2</v>
      </c>
      <c r="AK403" s="8">
        <f>IF($I403="AUD",VLOOKUP(RIGHT('Wk - Margins'!$G403,3),'AU Freight'!C:G,5,0),0)</f>
        <v>0</v>
      </c>
      <c r="AL403" s="15">
        <f t="shared" si="137"/>
        <v>0</v>
      </c>
      <c r="AM403" s="61">
        <f t="shared" si="139"/>
        <v>12750.999701848705</v>
      </c>
      <c r="AN403" s="63">
        <f t="shared" si="138"/>
        <v>0.29537986674889138</v>
      </c>
      <c r="AQ403" s="147"/>
    </row>
    <row r="404" spans="1:43">
      <c r="A404" s="10" t="str">
        <f>'Input - Bookings'!A404</f>
        <v>10-26</v>
      </c>
      <c r="B404" s="11" t="str">
        <f>'Input - Bookings'!C404</f>
        <v>P</v>
      </c>
      <c r="C404" s="11" t="str">
        <f>'Input - Bookings'!H404</f>
        <v>NZ</v>
      </c>
      <c r="D404" s="24" t="str">
        <f>'Input - Bookings'!E404</f>
        <v>067</v>
      </c>
      <c r="E404" s="24" t="str">
        <f>'Input - Bookings'!G404</f>
        <v>S.G EQUIPMENT LTD</v>
      </c>
      <c r="F404" s="24" t="str">
        <f>'Input - Bookings'!I404</f>
        <v>H68477</v>
      </c>
      <c r="G404" s="24" t="str">
        <f>'Input - Bookings'!L404</f>
        <v>C900</v>
      </c>
      <c r="H404" s="24" t="str">
        <f>'Input - Bookings'!M404</f>
        <v>FBR13SZ</v>
      </c>
      <c r="I404" s="24" t="str">
        <f>'Input - Bookings'!B404</f>
        <v>USD</v>
      </c>
      <c r="J404" s="13" t="str">
        <f>IF(I404="USD",INDEX('AP Plants'!A:A,MATCH(G404,'AP Plants'!D:D,0)),INDEX('Australia Plants'!A:A,MATCH(G404,'Australia Plants'!D:D,0)))</f>
        <v>SN</v>
      </c>
      <c r="K404" s="73">
        <v>1</v>
      </c>
      <c r="L404" s="97">
        <v>25435</v>
      </c>
      <c r="M404" s="97">
        <v>18337.07</v>
      </c>
      <c r="N404" s="99">
        <v>0.37414238995905236</v>
      </c>
      <c r="O404" s="25">
        <f t="shared" si="130"/>
        <v>0.27906152938863771</v>
      </c>
      <c r="P404" s="14">
        <f>IFERROR(IF(OR(B404&amp;C404="PAU",B404&amp;C404="AIN"),VLOOKUP(B404&amp;C404&amp;G404,#REF!,8,0),VLOOKUP(B404&amp;G404,#REF!,8,0)),0)</f>
        <v>0</v>
      </c>
      <c r="Q404" s="15">
        <f t="shared" si="133"/>
        <v>0.37414238995905236</v>
      </c>
      <c r="R404" s="16" t="str">
        <f t="shared" si="134"/>
        <v>AOP</v>
      </c>
      <c r="S404" s="17">
        <f t="shared" si="140"/>
        <v>6860.6751946464401</v>
      </c>
      <c r="T404" s="18">
        <f t="shared" si="135"/>
        <v>6860.6751946464401</v>
      </c>
      <c r="U404" s="23">
        <f t="shared" si="136"/>
        <v>18337.07</v>
      </c>
      <c r="Y404" s="8" t="str">
        <f t="shared" si="143"/>
        <v>PNZH68477FBR13SZ</v>
      </c>
      <c r="Z404" s="8" t="str">
        <f>IF(Y404='Input - Bookings'!Q637,"OK","Check")</f>
        <v>Check</v>
      </c>
      <c r="AA404" s="139" t="s">
        <v>1390</v>
      </c>
      <c r="AB404" s="103"/>
      <c r="AC404" s="103"/>
      <c r="AD404" s="100">
        <v>11142.13087898404</v>
      </c>
      <c r="AE404" s="100"/>
      <c r="AF404" s="8" t="str">
        <f t="array" ref="AF404">_xlfn.XLOOKUP($G404,'AP Plants'!D:D,'AP Plants'!B:B)</f>
        <v>Class 2</v>
      </c>
      <c r="AG404" s="102"/>
      <c r="AH404" s="102">
        <f t="shared" si="142"/>
        <v>11142.13087898404</v>
      </c>
      <c r="AI404" s="44">
        <v>1.4999999999999999E-2</v>
      </c>
      <c r="AJ404" s="15">
        <f>_xlfn.XLOOKUP($AF404,Warranty!B:B,Warranty!E:E)</f>
        <v>1.4999999999999999E-2</v>
      </c>
      <c r="AK404" s="8">
        <f>IF($I404="AUD",VLOOKUP(RIGHT('Wk - Margins'!$G404,3),'AU Freight'!C:G,5,0),0)</f>
        <v>0</v>
      </c>
      <c r="AL404" s="15">
        <f t="shared" si="137"/>
        <v>0</v>
      </c>
      <c r="AM404" s="61">
        <f t="shared" si="139"/>
        <v>11476.394805353559</v>
      </c>
      <c r="AN404" s="63">
        <f t="shared" si="138"/>
        <v>0.37414238995905236</v>
      </c>
      <c r="AQ404" s="147"/>
    </row>
    <row r="405" spans="1:43">
      <c r="A405" s="10" t="str">
        <f>'Input - Bookings'!A405</f>
        <v>10-26</v>
      </c>
      <c r="B405" s="11" t="str">
        <f>'Input - Bookings'!C405</f>
        <v>P</v>
      </c>
      <c r="C405" s="11" t="str">
        <f>'Input - Bookings'!H405</f>
        <v>NZ</v>
      </c>
      <c r="D405" s="24" t="str">
        <f>'Input - Bookings'!E405</f>
        <v>067</v>
      </c>
      <c r="E405" s="24" t="str">
        <f>'Input - Bookings'!G405</f>
        <v>S.G EQUIPMENT LTD</v>
      </c>
      <c r="F405" s="24" t="str">
        <f>'Input - Bookings'!I405</f>
        <v>H68478</v>
      </c>
      <c r="G405" s="24" t="str">
        <f>'Input - Bookings'!L405</f>
        <v>C900</v>
      </c>
      <c r="H405" s="24" t="str">
        <f>'Input - Bookings'!M405</f>
        <v>FBR13SZ</v>
      </c>
      <c r="I405" s="24" t="str">
        <f>'Input - Bookings'!B405</f>
        <v>USD</v>
      </c>
      <c r="J405" s="13" t="str">
        <f>IF(I405="USD",INDEX('AP Plants'!A:A,MATCH(G405,'AP Plants'!D:D,0)),INDEX('Australia Plants'!A:A,MATCH(G405,'Australia Plants'!D:D,0)))</f>
        <v>SN</v>
      </c>
      <c r="K405" s="73">
        <v>1</v>
      </c>
      <c r="L405" s="97">
        <v>25435</v>
      </c>
      <c r="M405" s="97">
        <v>18337.07</v>
      </c>
      <c r="N405" s="99">
        <v>0.37414238995905236</v>
      </c>
      <c r="O405" s="25">
        <f t="shared" ref="O405:O468" si="144">1-M405/L405</f>
        <v>0.27906152938863771</v>
      </c>
      <c r="P405" s="14">
        <f>IFERROR(IF(OR(B405&amp;C405="PAU",B405&amp;C405="AIN"),VLOOKUP(B405&amp;C405&amp;G405,#REF!,8,0),VLOOKUP(B405&amp;G405,#REF!,8,0)),0)</f>
        <v>0</v>
      </c>
      <c r="Q405" s="15">
        <f t="shared" ref="Q405:Q468" si="145">N405-P405</f>
        <v>0.37414238995905236</v>
      </c>
      <c r="R405" s="16" t="str">
        <f t="shared" ref="R405:R468" si="146">IF(Q405&gt;=0%,"AOP",IF(Q405&gt;=-2%,"GM",IF(Q405&gt;=-6%,"MD","VP")))</f>
        <v>AOP</v>
      </c>
      <c r="S405" s="17">
        <f t="shared" si="140"/>
        <v>6860.6751946464401</v>
      </c>
      <c r="T405" s="18">
        <f t="shared" ref="T405:T468" si="147">IF(I405="USD",S405,S405/$X$6)</f>
        <v>6860.6751946464401</v>
      </c>
      <c r="U405" s="23">
        <f t="shared" si="136"/>
        <v>18337.07</v>
      </c>
      <c r="Y405" s="8" t="str">
        <f t="shared" ref="Y405:Y468" si="148">B405&amp;C405&amp;F405&amp;H405</f>
        <v>PNZH68478FBR13SZ</v>
      </c>
      <c r="Z405" s="8" t="str">
        <f>IF(Y405='Input - Bookings'!Q638,"OK","Check")</f>
        <v>Check</v>
      </c>
      <c r="AA405" s="139" t="s">
        <v>1390</v>
      </c>
      <c r="AB405" s="103"/>
      <c r="AC405" s="103"/>
      <c r="AD405" s="100">
        <v>11142.13087898404</v>
      </c>
      <c r="AE405" s="100"/>
      <c r="AF405" s="8" t="str">
        <f t="array" ref="AF405">_xlfn.XLOOKUP($G405,'AP Plants'!D:D,'AP Plants'!B:B)</f>
        <v>Class 2</v>
      </c>
      <c r="AG405" s="102"/>
      <c r="AH405" s="102">
        <f t="shared" si="142"/>
        <v>11142.13087898404</v>
      </c>
      <c r="AI405" s="44">
        <v>1.4999999999999999E-2</v>
      </c>
      <c r="AJ405" s="15">
        <f>_xlfn.XLOOKUP($AF405,Warranty!B:B,Warranty!E:E)</f>
        <v>1.4999999999999999E-2</v>
      </c>
      <c r="AK405" s="8">
        <f>IF($I405="AUD",VLOOKUP(RIGHT('Wk - Margins'!$G405,3),'AU Freight'!C:G,5,0),0)</f>
        <v>0</v>
      </c>
      <c r="AL405" s="15">
        <f t="shared" si="137"/>
        <v>0</v>
      </c>
      <c r="AM405" s="61">
        <f t="shared" si="139"/>
        <v>11476.394805353559</v>
      </c>
      <c r="AN405" s="63">
        <f t="shared" si="138"/>
        <v>0.37414238995905236</v>
      </c>
      <c r="AQ405" s="147"/>
    </row>
    <row r="406" spans="1:43">
      <c r="A406" s="10" t="str">
        <f>'Input - Bookings'!A406</f>
        <v>10-26</v>
      </c>
      <c r="B406" s="11" t="str">
        <f>'Input - Bookings'!C406</f>
        <v>P</v>
      </c>
      <c r="C406" s="11" t="str">
        <f>'Input - Bookings'!H406</f>
        <v>AU</v>
      </c>
      <c r="D406" s="24" t="str">
        <f>'Input - Bookings'!E406</f>
        <v>067</v>
      </c>
      <c r="E406" s="24" t="str">
        <f>'Input - Bookings'!G406</f>
        <v>UNALLOCATED - YALE AUS</v>
      </c>
      <c r="F406" s="24" t="str">
        <f>'Input - Bookings'!I406</f>
        <v>H68479</v>
      </c>
      <c r="G406" s="24" t="str">
        <f>'Input - Bookings'!L406</f>
        <v>E875</v>
      </c>
      <c r="H406" s="24" t="str">
        <f>'Input - Bookings'!M406</f>
        <v>GP2.5N</v>
      </c>
      <c r="I406" s="24" t="str">
        <f>'Input - Bookings'!B406</f>
        <v>AUD</v>
      </c>
      <c r="J406" s="13" t="str">
        <f>IF(I406="USD",INDEX('AP Plants'!A:A,MATCH(G406,'AP Plants'!D:D,0)),INDEX('Australia Plants'!A:A,MATCH(G406,'Australia Plants'!D:D,0)))</f>
        <v>Craigavon</v>
      </c>
      <c r="K406" s="73">
        <v>1</v>
      </c>
      <c r="L406" s="97">
        <v>888894568.89999998</v>
      </c>
      <c r="M406" s="97">
        <v>30985</v>
      </c>
      <c r="N406" s="99" t="e">
        <v>#N/A</v>
      </c>
      <c r="O406" s="25">
        <f t="shared" si="144"/>
        <v>0.99996514209774245</v>
      </c>
      <c r="P406" s="14">
        <f>IFERROR(IF(OR(B406&amp;C406="PAU",B406&amp;C406="AIN"),VLOOKUP(B406&amp;C406&amp;G406,#REF!,8,0),VLOOKUP(B406&amp;G406,#REF!,8,0)),0)</f>
        <v>0</v>
      </c>
      <c r="Q406" s="15" t="e">
        <f t="shared" si="145"/>
        <v>#N/A</v>
      </c>
      <c r="R406" s="16" t="e">
        <f t="shared" si="146"/>
        <v>#N/A</v>
      </c>
      <c r="S406" s="17" t="e">
        <f t="shared" si="140"/>
        <v>#N/A</v>
      </c>
      <c r="T406" s="18" t="e">
        <f t="shared" si="147"/>
        <v>#N/A</v>
      </c>
      <c r="U406" s="23" t="e">
        <f t="shared" si="136"/>
        <v>#DIV/0!</v>
      </c>
      <c r="Y406" s="8" t="str">
        <f t="shared" si="148"/>
        <v>PAUH68479GP2.5N</v>
      </c>
      <c r="Z406" s="8" t="str">
        <f>IF(Y406='Input - Bookings'!Q639,"OK","Check")</f>
        <v>Check</v>
      </c>
      <c r="AA406" s="148" t="s">
        <v>1958</v>
      </c>
      <c r="AB406" s="103"/>
      <c r="AC406" s="103"/>
      <c r="AD406" s="100"/>
      <c r="AE406" s="98"/>
      <c r="AF406" s="8" t="str">
        <f t="array" ref="AF406">_xlfn.XLOOKUP($G406,'AP Plants'!D:D,'AP Plants'!B:B)</f>
        <v>Not Offer</v>
      </c>
      <c r="AG406" s="102">
        <f>(AE406*(1+VLOOKUP(J406,'Currency &amp; Conversion'!$F$12:$I$18,2,0))*'Currency &amp; Conversion'!$L$4)+((AB406+AC406)*90%)</f>
        <v>0</v>
      </c>
      <c r="AH406" s="102"/>
      <c r="AI406" s="44">
        <v>1.4999999999999999E-2</v>
      </c>
      <c r="AJ406" s="15" t="e">
        <f>_xlfn.XLOOKUP($AF406,Warranty!B:B,Warranty!E:E)</f>
        <v>#N/A</v>
      </c>
      <c r="AK406" s="8">
        <f>IF($I406="AUD",VLOOKUP(RIGHT('Wk - Margins'!$G406,3),'AU Freight'!C:G,5,0),0)</f>
        <v>3145</v>
      </c>
      <c r="AL406" s="15">
        <f t="shared" si="137"/>
        <v>0</v>
      </c>
      <c r="AM406" s="61" t="e">
        <f t="shared" si="139"/>
        <v>#N/A</v>
      </c>
      <c r="AN406" s="63" t="e">
        <f t="shared" si="138"/>
        <v>#N/A</v>
      </c>
      <c r="AQ406" s="147"/>
    </row>
    <row r="407" spans="1:43">
      <c r="A407" s="10" t="str">
        <f>'Input - Bookings'!A407</f>
        <v>10-26</v>
      </c>
      <c r="B407" s="11" t="str">
        <f>'Input - Bookings'!C407</f>
        <v>P</v>
      </c>
      <c r="C407" s="11" t="str">
        <f>'Input - Bookings'!H407</f>
        <v>AU</v>
      </c>
      <c r="D407" s="24" t="str">
        <f>'Input - Bookings'!E407</f>
        <v>067</v>
      </c>
      <c r="E407" s="24" t="str">
        <f>'Input - Bookings'!G407</f>
        <v>UNALLOCATED - YALE AUS</v>
      </c>
      <c r="F407" s="24" t="str">
        <f>'Input - Bookings'!I407</f>
        <v>H68480</v>
      </c>
      <c r="G407" s="24" t="str">
        <f>'Input - Bookings'!L407</f>
        <v>E875</v>
      </c>
      <c r="H407" s="24" t="str">
        <f>'Input - Bookings'!M407</f>
        <v>GP2.5N</v>
      </c>
      <c r="I407" s="24" t="str">
        <f>'Input - Bookings'!B407</f>
        <v>AUD</v>
      </c>
      <c r="J407" s="13" t="str">
        <f>IF(I407="USD",INDEX('AP Plants'!A:A,MATCH(G407,'AP Plants'!D:D,0)),INDEX('Australia Plants'!A:A,MATCH(G407,'Australia Plants'!D:D,0)))</f>
        <v>Craigavon</v>
      </c>
      <c r="K407" s="73">
        <v>1</v>
      </c>
      <c r="L407" s="97">
        <v>888894568.89999998</v>
      </c>
      <c r="M407" s="97">
        <v>30985</v>
      </c>
      <c r="N407" s="99" t="e">
        <v>#N/A</v>
      </c>
      <c r="O407" s="25">
        <f t="shared" si="144"/>
        <v>0.99996514209774245</v>
      </c>
      <c r="P407" s="14">
        <f>IFERROR(IF(OR(B407&amp;C407="PAU",B407&amp;C407="AIN"),VLOOKUP(B407&amp;C407&amp;G407,#REF!,8,0),VLOOKUP(B407&amp;G407,#REF!,8,0)),0)</f>
        <v>0</v>
      </c>
      <c r="Q407" s="15" t="e">
        <f t="shared" si="145"/>
        <v>#N/A</v>
      </c>
      <c r="R407" s="16" t="e">
        <f t="shared" si="146"/>
        <v>#N/A</v>
      </c>
      <c r="S407" s="17" t="e">
        <f t="shared" si="140"/>
        <v>#N/A</v>
      </c>
      <c r="T407" s="18" t="e">
        <f t="shared" si="147"/>
        <v>#N/A</v>
      </c>
      <c r="U407" s="23" t="e">
        <f t="shared" si="136"/>
        <v>#DIV/0!</v>
      </c>
      <c r="Y407" s="8" t="str">
        <f t="shared" si="148"/>
        <v>PAUH68480GP2.5N</v>
      </c>
      <c r="Z407" s="8" t="str">
        <f>IF(Y407='Input - Bookings'!Q640,"OK","Check")</f>
        <v>Check</v>
      </c>
      <c r="AA407" s="148" t="s">
        <v>1958</v>
      </c>
      <c r="AB407" s="103"/>
      <c r="AC407" s="103"/>
      <c r="AD407" s="100"/>
      <c r="AE407" s="98"/>
      <c r="AF407" s="8" t="str">
        <f t="array" ref="AF407">_xlfn.XLOOKUP($G407,'AP Plants'!D:D,'AP Plants'!B:B)</f>
        <v>Not Offer</v>
      </c>
      <c r="AG407" s="102">
        <f>(AE407*(1+VLOOKUP(J407,'Currency &amp; Conversion'!$F$12:$I$18,2,0))*'Currency &amp; Conversion'!$L$4)+((AB407+AC407)*90%)</f>
        <v>0</v>
      </c>
      <c r="AH407" s="102"/>
      <c r="AI407" s="44">
        <v>1.4999999999999999E-2</v>
      </c>
      <c r="AJ407" s="15" t="e">
        <f>_xlfn.XLOOKUP($AF407,Warranty!B:B,Warranty!E:E)</f>
        <v>#N/A</v>
      </c>
      <c r="AK407" s="8">
        <f>IF($I407="AUD",VLOOKUP(RIGHT('Wk - Margins'!$G407,3),'AU Freight'!C:G,5,0),0)</f>
        <v>3145</v>
      </c>
      <c r="AL407" s="15">
        <f t="shared" si="137"/>
        <v>0</v>
      </c>
      <c r="AM407" s="61" t="e">
        <f t="shared" si="139"/>
        <v>#N/A</v>
      </c>
      <c r="AN407" s="63" t="e">
        <f t="shared" si="138"/>
        <v>#N/A</v>
      </c>
      <c r="AQ407" s="147"/>
    </row>
    <row r="408" spans="1:43">
      <c r="A408" s="10" t="str">
        <f>'Input - Bookings'!A408</f>
        <v>10-26</v>
      </c>
      <c r="B408" s="11" t="str">
        <f>'Input - Bookings'!C408</f>
        <v>P</v>
      </c>
      <c r="C408" s="11" t="str">
        <f>'Input - Bookings'!H408</f>
        <v>AU</v>
      </c>
      <c r="D408" s="24" t="str">
        <f>'Input - Bookings'!E408</f>
        <v>067</v>
      </c>
      <c r="E408" s="24" t="str">
        <f>'Input - Bookings'!G408</f>
        <v>UNALLOCATED - YALE AUS</v>
      </c>
      <c r="F408" s="24" t="str">
        <f>'Input - Bookings'!I408</f>
        <v>H68481</v>
      </c>
      <c r="G408" s="24" t="str">
        <f>'Input - Bookings'!L408</f>
        <v>E875</v>
      </c>
      <c r="H408" s="24" t="str">
        <f>'Input - Bookings'!M408</f>
        <v>GP2.5N</v>
      </c>
      <c r="I408" s="24" t="str">
        <f>'Input - Bookings'!B408</f>
        <v>AUD</v>
      </c>
      <c r="J408" s="13" t="str">
        <f>IF(I408="USD",INDEX('AP Plants'!A:A,MATCH(G408,'AP Plants'!D:D,0)),INDEX('Australia Plants'!A:A,MATCH(G408,'Australia Plants'!D:D,0)))</f>
        <v>Craigavon</v>
      </c>
      <c r="K408" s="73">
        <v>1</v>
      </c>
      <c r="L408" s="97">
        <v>888894568.89999998</v>
      </c>
      <c r="M408" s="97">
        <v>30985</v>
      </c>
      <c r="N408" s="99" t="e">
        <v>#N/A</v>
      </c>
      <c r="O408" s="25">
        <f t="shared" si="144"/>
        <v>0.99996514209774245</v>
      </c>
      <c r="P408" s="14">
        <f>IFERROR(IF(OR(B408&amp;C408="PAU",B408&amp;C408="AIN"),VLOOKUP(B408&amp;C408&amp;G408,#REF!,8,0),VLOOKUP(B408&amp;G408,#REF!,8,0)),0)</f>
        <v>0</v>
      </c>
      <c r="Q408" s="15" t="e">
        <f t="shared" si="145"/>
        <v>#N/A</v>
      </c>
      <c r="R408" s="16" t="e">
        <f t="shared" si="146"/>
        <v>#N/A</v>
      </c>
      <c r="S408" s="17" t="e">
        <f t="shared" si="140"/>
        <v>#N/A</v>
      </c>
      <c r="T408" s="18" t="e">
        <f t="shared" si="147"/>
        <v>#N/A</v>
      </c>
      <c r="U408" s="23" t="e">
        <f t="shared" si="136"/>
        <v>#DIV/0!</v>
      </c>
      <c r="Y408" s="8" t="str">
        <f t="shared" si="148"/>
        <v>PAUH68481GP2.5N</v>
      </c>
      <c r="Z408" s="8" t="str">
        <f>IF(Y408='Input - Bookings'!Q641,"OK","Check")</f>
        <v>Check</v>
      </c>
      <c r="AA408" s="148" t="s">
        <v>1958</v>
      </c>
      <c r="AB408" s="103"/>
      <c r="AC408" s="103"/>
      <c r="AD408" s="100"/>
      <c r="AE408" s="98"/>
      <c r="AF408" s="8" t="str">
        <f t="array" ref="AF408">_xlfn.XLOOKUP($G408,'AP Plants'!D:D,'AP Plants'!B:B)</f>
        <v>Not Offer</v>
      </c>
      <c r="AG408" s="102">
        <f>(AE408*(1+VLOOKUP(J408,'Currency &amp; Conversion'!$F$12:$I$18,2,0))*'Currency &amp; Conversion'!$L$4)+((AB408+AC408)*90%)</f>
        <v>0</v>
      </c>
      <c r="AH408" s="102"/>
      <c r="AI408" s="44">
        <v>1.4999999999999999E-2</v>
      </c>
      <c r="AJ408" s="15" t="e">
        <f>_xlfn.XLOOKUP($AF408,Warranty!B:B,Warranty!E:E)</f>
        <v>#N/A</v>
      </c>
      <c r="AK408" s="8">
        <f>IF($I408="AUD",VLOOKUP(RIGHT('Wk - Margins'!$G408,3),'AU Freight'!C:G,5,0),0)</f>
        <v>3145</v>
      </c>
      <c r="AL408" s="15">
        <f t="shared" si="137"/>
        <v>0</v>
      </c>
      <c r="AM408" s="61" t="e">
        <f t="shared" ref="AM408:AM434" si="149">SUM(AG408:AH408)*(1+AI408+AJ408+AL408)+AK408</f>
        <v>#N/A</v>
      </c>
      <c r="AN408" s="63" t="e">
        <f t="shared" si="138"/>
        <v>#N/A</v>
      </c>
      <c r="AQ408" s="147"/>
    </row>
    <row r="409" spans="1:43">
      <c r="A409" s="10" t="str">
        <f>'Input - Bookings'!A409</f>
        <v>10-26</v>
      </c>
      <c r="B409" s="11" t="str">
        <f>'Input - Bookings'!C409</f>
        <v>P</v>
      </c>
      <c r="C409" s="11" t="str">
        <f>'Input - Bookings'!H409</f>
        <v>AU</v>
      </c>
      <c r="D409" s="24" t="str">
        <f>'Input - Bookings'!E409</f>
        <v>067</v>
      </c>
      <c r="E409" s="24" t="str">
        <f>'Input - Bookings'!G409</f>
        <v>UNALLOCATED - YALE AUS</v>
      </c>
      <c r="F409" s="24" t="str">
        <f>'Input - Bookings'!I409</f>
        <v>H68482</v>
      </c>
      <c r="G409" s="24" t="str">
        <f>'Input - Bookings'!L409</f>
        <v>E875</v>
      </c>
      <c r="H409" s="24" t="str">
        <f>'Input - Bookings'!M409</f>
        <v>GP2.5N</v>
      </c>
      <c r="I409" s="24" t="str">
        <f>'Input - Bookings'!B409</f>
        <v>AUD</v>
      </c>
      <c r="J409" s="13" t="str">
        <f>IF(I409="USD",INDEX('AP Plants'!A:A,MATCH(G409,'AP Plants'!D:D,0)),INDEX('Australia Plants'!A:A,MATCH(G409,'Australia Plants'!D:D,0)))</f>
        <v>Craigavon</v>
      </c>
      <c r="K409" s="73">
        <v>1</v>
      </c>
      <c r="L409" s="97">
        <v>888894568.89999998</v>
      </c>
      <c r="M409" s="97">
        <v>30985</v>
      </c>
      <c r="N409" s="99" t="e">
        <v>#N/A</v>
      </c>
      <c r="O409" s="25">
        <f t="shared" si="144"/>
        <v>0.99996514209774245</v>
      </c>
      <c r="P409" s="14">
        <f>IFERROR(IF(OR(B409&amp;C409="PAU",B409&amp;C409="AIN"),VLOOKUP(B409&amp;C409&amp;G409,#REF!,8,0),VLOOKUP(B409&amp;G409,#REF!,8,0)),0)</f>
        <v>0</v>
      </c>
      <c r="Q409" s="15" t="e">
        <f t="shared" si="145"/>
        <v>#N/A</v>
      </c>
      <c r="R409" s="16" t="e">
        <f t="shared" si="146"/>
        <v>#N/A</v>
      </c>
      <c r="S409" s="17" t="e">
        <f t="shared" si="140"/>
        <v>#N/A</v>
      </c>
      <c r="T409" s="18" t="e">
        <f t="shared" si="147"/>
        <v>#N/A</v>
      </c>
      <c r="U409" s="23" t="e">
        <f t="shared" si="136"/>
        <v>#DIV/0!</v>
      </c>
      <c r="Y409" s="8" t="str">
        <f t="shared" si="148"/>
        <v>PAUH68482GP2.5N</v>
      </c>
      <c r="Z409" s="8" t="str">
        <f>IF(Y409='Input - Bookings'!Q642,"OK","Check")</f>
        <v>Check</v>
      </c>
      <c r="AA409" s="148" t="s">
        <v>1958</v>
      </c>
      <c r="AB409" s="103"/>
      <c r="AC409" s="103"/>
      <c r="AD409" s="100"/>
      <c r="AE409" s="110"/>
      <c r="AF409" s="8" t="str">
        <f t="array" ref="AF409">_xlfn.XLOOKUP($G409,'AP Plants'!D:D,'AP Plants'!B:B)</f>
        <v>Not Offer</v>
      </c>
      <c r="AG409" s="102">
        <f>(AE409*(1+VLOOKUP(J409,'Currency &amp; Conversion'!$F$12:$I$18,2,0))*'Currency &amp; Conversion'!$L$4)+((AB409+AC409)*90%)</f>
        <v>0</v>
      </c>
      <c r="AH409" s="102"/>
      <c r="AI409" s="44">
        <v>1.4999999999999999E-2</v>
      </c>
      <c r="AJ409" s="15" t="e">
        <f>_xlfn.XLOOKUP($AF409,Warranty!B:B,Warranty!E:E)</f>
        <v>#N/A</v>
      </c>
      <c r="AK409" s="8">
        <f>IF($I409="AUD",VLOOKUP(RIGHT('Wk - Margins'!$G409,3),'AU Freight'!C:G,5,0),0)</f>
        <v>3145</v>
      </c>
      <c r="AL409" s="15">
        <f t="shared" si="137"/>
        <v>0</v>
      </c>
      <c r="AM409" s="61" t="e">
        <f t="shared" si="149"/>
        <v>#N/A</v>
      </c>
      <c r="AN409" s="63" t="e">
        <f t="shared" si="138"/>
        <v>#N/A</v>
      </c>
      <c r="AQ409" s="147"/>
    </row>
    <row r="410" spans="1:43">
      <c r="A410" s="10" t="str">
        <f>'Input - Bookings'!A410</f>
        <v>10-26</v>
      </c>
      <c r="B410" s="11" t="str">
        <f>'Input - Bookings'!C410</f>
        <v>P</v>
      </c>
      <c r="C410" s="11" t="str">
        <f>'Input - Bookings'!H410</f>
        <v>AU</v>
      </c>
      <c r="D410" s="24" t="str">
        <f>'Input - Bookings'!E410</f>
        <v>067</v>
      </c>
      <c r="E410" s="24" t="str">
        <f>'Input - Bookings'!G410</f>
        <v>UNALLOCATED - YALE AUS</v>
      </c>
      <c r="F410" s="24" t="str">
        <f>'Input - Bookings'!I410</f>
        <v>H68483</v>
      </c>
      <c r="G410" s="24" t="str">
        <f>'Input - Bookings'!L410</f>
        <v>E875</v>
      </c>
      <c r="H410" s="24" t="str">
        <f>'Input - Bookings'!M410</f>
        <v>GP2.5N</v>
      </c>
      <c r="I410" s="24" t="str">
        <f>'Input - Bookings'!B410</f>
        <v>AUD</v>
      </c>
      <c r="J410" s="13" t="str">
        <f>IF(I410="USD",INDEX('AP Plants'!A:A,MATCH(G410,'AP Plants'!D:D,0)),INDEX('Australia Plants'!A:A,MATCH(G410,'Australia Plants'!D:D,0)))</f>
        <v>Craigavon</v>
      </c>
      <c r="K410" s="73">
        <v>1</v>
      </c>
      <c r="L410" s="97">
        <v>888894568.89999998</v>
      </c>
      <c r="M410" s="97">
        <v>30985</v>
      </c>
      <c r="N410" s="99" t="e">
        <v>#N/A</v>
      </c>
      <c r="O410" s="25">
        <f t="shared" si="144"/>
        <v>0.99996514209774245</v>
      </c>
      <c r="P410" s="14">
        <f>IFERROR(IF(OR(B410&amp;C410="PAU",B410&amp;C410="AIN"),VLOOKUP(B410&amp;C410&amp;G410,#REF!,8,0),VLOOKUP(B410&amp;G410,#REF!,8,0)),0)</f>
        <v>0</v>
      </c>
      <c r="Q410" s="15" t="e">
        <f t="shared" si="145"/>
        <v>#N/A</v>
      </c>
      <c r="R410" s="16" t="e">
        <f t="shared" si="146"/>
        <v>#N/A</v>
      </c>
      <c r="S410" s="17" t="e">
        <f t="shared" si="140"/>
        <v>#N/A</v>
      </c>
      <c r="T410" s="18" t="e">
        <f t="shared" si="147"/>
        <v>#N/A</v>
      </c>
      <c r="U410" s="23" t="e">
        <f t="shared" si="136"/>
        <v>#DIV/0!</v>
      </c>
      <c r="Y410" s="8" t="str">
        <f t="shared" si="148"/>
        <v>PAUH68483GP2.5N</v>
      </c>
      <c r="Z410" s="8" t="str">
        <f>IF(Y410='Input - Bookings'!Q643,"OK","Check")</f>
        <v>Check</v>
      </c>
      <c r="AA410" s="148" t="s">
        <v>1958</v>
      </c>
      <c r="AB410" s="103"/>
      <c r="AC410" s="103"/>
      <c r="AD410" s="100"/>
      <c r="AE410" s="110"/>
      <c r="AF410" s="8" t="str">
        <f t="array" ref="AF410">_xlfn.XLOOKUP($G410,'AP Plants'!D:D,'AP Plants'!B:B)</f>
        <v>Not Offer</v>
      </c>
      <c r="AG410" s="102">
        <f>(AE410*(1+VLOOKUP(J410,'Currency &amp; Conversion'!$F$12:$I$18,2,0))*'Currency &amp; Conversion'!$L$4)+((AB410+AC410)*90%)</f>
        <v>0</v>
      </c>
      <c r="AH410" s="102"/>
      <c r="AI410" s="44">
        <v>1.4999999999999999E-2</v>
      </c>
      <c r="AJ410" s="15" t="e">
        <f>_xlfn.XLOOKUP($AF410,Warranty!B:B,Warranty!E:E)</f>
        <v>#N/A</v>
      </c>
      <c r="AK410" s="8">
        <f>IF($I410="AUD",VLOOKUP(RIGHT('Wk - Margins'!$G410,3),'AU Freight'!C:G,5,0),0)</f>
        <v>3145</v>
      </c>
      <c r="AL410" s="15">
        <f t="shared" si="137"/>
        <v>0</v>
      </c>
      <c r="AM410" s="61" t="e">
        <f t="shared" si="149"/>
        <v>#N/A</v>
      </c>
      <c r="AN410" s="63" t="e">
        <f t="shared" si="138"/>
        <v>#N/A</v>
      </c>
      <c r="AQ410" s="147"/>
    </row>
    <row r="411" spans="1:43">
      <c r="A411" s="10" t="str">
        <f>'Input - Bookings'!A411</f>
        <v>10-27</v>
      </c>
      <c r="B411" s="11" t="str">
        <f>'Input - Bookings'!C411</f>
        <v>P</v>
      </c>
      <c r="C411" s="11" t="str">
        <f>'Input - Bookings'!H411</f>
        <v>AU</v>
      </c>
      <c r="D411" s="24" t="str">
        <f>'Input - Bookings'!E411</f>
        <v>065</v>
      </c>
      <c r="E411" s="24" t="str">
        <f>'Input - Bookings'!G411</f>
        <v>ADAPT-A-LIFT GROUP (NSW)</v>
      </c>
      <c r="F411" s="146" t="str">
        <f>'Input - Bookings'!I411</f>
        <v>H68608</v>
      </c>
      <c r="G411" s="24" t="str">
        <f>'Input - Bookings'!L411</f>
        <v>A6W9</v>
      </c>
      <c r="H411" s="24" t="str">
        <f>'Input - Bookings'!M411</f>
        <v>PC1.5</v>
      </c>
      <c r="I411" s="24" t="str">
        <f>'Input - Bookings'!B411</f>
        <v>AUD</v>
      </c>
      <c r="J411" s="13" t="str">
        <f>IF(I411="USD",INDEX('AP Plants'!A:A,MATCH(G411,'AP Plants'!D:D,0)),INDEX('Australia Plants'!A:A,MATCH(G411,'Australia Plants'!D:D,0)))</f>
        <v>Staxx</v>
      </c>
      <c r="K411" s="73">
        <v>1</v>
      </c>
      <c r="L411" s="97">
        <v>2140</v>
      </c>
      <c r="M411" s="97">
        <v>1282.92</v>
      </c>
      <c r="N411" s="99">
        <v>0.15563392142436872</v>
      </c>
      <c r="O411" s="25">
        <f t="shared" si="144"/>
        <v>0.40050467289719627</v>
      </c>
      <c r="P411" s="14">
        <f>IFERROR(IF(OR(B411&amp;C411="PAU",B411&amp;C411="AIN"),VLOOKUP(B411&amp;C411&amp;G411,#REF!,8,0),VLOOKUP(B411&amp;G411,#REF!,8,0)),0)</f>
        <v>0</v>
      </c>
      <c r="Q411" s="15">
        <f t="shared" si="145"/>
        <v>0.15563392142436872</v>
      </c>
      <c r="R411" s="16" t="str">
        <f t="shared" si="146"/>
        <v>AOP</v>
      </c>
      <c r="S411" s="17">
        <f t="shared" si="140"/>
        <v>199.66587047375111</v>
      </c>
      <c r="T411" s="18" t="e">
        <f t="shared" si="147"/>
        <v>#DIV/0!</v>
      </c>
      <c r="U411" s="23" t="e">
        <f t="shared" si="136"/>
        <v>#DIV/0!</v>
      </c>
      <c r="Y411" s="8" t="str">
        <f t="shared" si="148"/>
        <v>PAUH68608PC1.5</v>
      </c>
      <c r="Z411" s="8" t="str">
        <f>IF(Y411='Input - Bookings'!Q644,"OK","Check")</f>
        <v>Check</v>
      </c>
      <c r="AA411" s="118"/>
      <c r="AB411" s="103"/>
      <c r="AC411" s="103"/>
      <c r="AD411" s="100">
        <f>608.025825768347+33</f>
        <v>641.02582576834698</v>
      </c>
      <c r="AE411" s="110"/>
      <c r="AF411" s="8" t="str">
        <f t="array" ref="AF411">_xlfn.XLOOKUP($G411,'AP Plants'!D:D,'AP Plants'!B:B)</f>
        <v>Class 3</v>
      </c>
      <c r="AG411" s="102">
        <f>AD411*'Currency &amp; Conversion'!$L$6</f>
        <v>954.61565973422239</v>
      </c>
      <c r="AH411" s="102"/>
      <c r="AI411" s="44">
        <v>1.4999999999999999E-2</v>
      </c>
      <c r="AJ411" s="15">
        <f>_xlfn.XLOOKUP($AF411,Warranty!B:B,Warranty!E:E)</f>
        <v>1.4999999999999999E-2</v>
      </c>
      <c r="AK411" s="8">
        <f>IF($I411="AUD",VLOOKUP(RIGHT('Wk - Margins'!$G411,3),'AU Freight'!C:G,5,0),0)</f>
        <v>100</v>
      </c>
      <c r="AL411" s="15">
        <f t="shared" si="137"/>
        <v>0</v>
      </c>
      <c r="AM411" s="61">
        <f t="shared" si="149"/>
        <v>1083.254129526249</v>
      </c>
      <c r="AN411" s="63">
        <f t="shared" si="138"/>
        <v>0.15563392142436872</v>
      </c>
      <c r="AQ411" s="147"/>
    </row>
    <row r="412" spans="1:43">
      <c r="A412" s="10" t="str">
        <f>'Input - Bookings'!A412</f>
        <v>10-27</v>
      </c>
      <c r="B412" s="11" t="str">
        <f>'Input - Bookings'!C412</f>
        <v>P</v>
      </c>
      <c r="C412" s="11" t="str">
        <f>'Input - Bookings'!H412</f>
        <v>AU</v>
      </c>
      <c r="D412" s="24" t="str">
        <f>'Input - Bookings'!E412</f>
        <v>065</v>
      </c>
      <c r="E412" s="24" t="str">
        <f>'Input - Bookings'!G412</f>
        <v>ADAPT-A-LIFT GROUP (NSW)</v>
      </c>
      <c r="F412" s="146" t="str">
        <f>'Input - Bookings'!I412</f>
        <v>H68609</v>
      </c>
      <c r="G412" s="24" t="str">
        <f>'Input - Bookings'!L412</f>
        <v>A6W9</v>
      </c>
      <c r="H412" s="24" t="str">
        <f>'Input - Bookings'!M412</f>
        <v>PC1.5</v>
      </c>
      <c r="I412" s="24" t="str">
        <f>'Input - Bookings'!B412</f>
        <v>AUD</v>
      </c>
      <c r="J412" s="13" t="str">
        <f>IF(I412="USD",INDEX('AP Plants'!A:A,MATCH(G412,'AP Plants'!D:D,0)),INDEX('Australia Plants'!A:A,MATCH(G412,'Australia Plants'!D:D,0)))</f>
        <v>Staxx</v>
      </c>
      <c r="K412" s="73">
        <v>1</v>
      </c>
      <c r="L412" s="97">
        <v>2140</v>
      </c>
      <c r="M412" s="97">
        <v>1282.92</v>
      </c>
      <c r="N412" s="99">
        <v>0.15563392142436872</v>
      </c>
      <c r="O412" s="25">
        <f t="shared" si="144"/>
        <v>0.40050467289719627</v>
      </c>
      <c r="P412" s="14">
        <f>IFERROR(IF(OR(B412&amp;C412="PAU",B412&amp;C412="AIN"),VLOOKUP(B412&amp;C412&amp;G412,#REF!,8,0),VLOOKUP(B412&amp;G412,#REF!,8,0)),0)</f>
        <v>0</v>
      </c>
      <c r="Q412" s="15">
        <f t="shared" si="145"/>
        <v>0.15563392142436872</v>
      </c>
      <c r="R412" s="16" t="str">
        <f t="shared" si="146"/>
        <v>AOP</v>
      </c>
      <c r="S412" s="17">
        <f t="shared" si="140"/>
        <v>199.66587047375111</v>
      </c>
      <c r="T412" s="18" t="e">
        <f t="shared" si="147"/>
        <v>#DIV/0!</v>
      </c>
      <c r="U412" s="23" t="e">
        <f t="shared" si="136"/>
        <v>#DIV/0!</v>
      </c>
      <c r="Y412" s="8" t="str">
        <f t="shared" si="148"/>
        <v>PAUH68609PC1.5</v>
      </c>
      <c r="Z412" s="8" t="str">
        <f>IF(Y412='Input - Bookings'!Q645,"OK","Check")</f>
        <v>Check</v>
      </c>
      <c r="AA412" s="118"/>
      <c r="AB412" s="103"/>
      <c r="AC412" s="103"/>
      <c r="AD412" s="100">
        <f t="shared" ref="AD412:AD460" si="150">608.025825768347+33</f>
        <v>641.02582576834698</v>
      </c>
      <c r="AE412" s="100"/>
      <c r="AF412" s="8" t="str">
        <f t="array" ref="AF412">_xlfn.XLOOKUP($G412,'AP Plants'!D:D,'AP Plants'!B:B)</f>
        <v>Class 3</v>
      </c>
      <c r="AG412" s="102">
        <f>AD412*'Currency &amp; Conversion'!$L$6</f>
        <v>954.61565973422239</v>
      </c>
      <c r="AH412" s="102"/>
      <c r="AI412" s="44">
        <v>1.4999999999999999E-2</v>
      </c>
      <c r="AJ412" s="15">
        <f>_xlfn.XLOOKUP($AF412,Warranty!B:B,Warranty!E:E)</f>
        <v>1.4999999999999999E-2</v>
      </c>
      <c r="AK412" s="8">
        <f>IF($I412="AUD",VLOOKUP(RIGHT('Wk - Margins'!$G412,3),'AU Freight'!C:G,5,0),0)</f>
        <v>100</v>
      </c>
      <c r="AL412" s="15">
        <f t="shared" si="137"/>
        <v>0</v>
      </c>
      <c r="AM412" s="61">
        <f t="shared" si="149"/>
        <v>1083.254129526249</v>
      </c>
      <c r="AN412" s="63">
        <f t="shared" si="138"/>
        <v>0.15563392142436872</v>
      </c>
      <c r="AQ412" s="147"/>
    </row>
    <row r="413" spans="1:43">
      <c r="A413" s="10" t="str">
        <f>'Input - Bookings'!A413</f>
        <v>10-27</v>
      </c>
      <c r="B413" s="11" t="str">
        <f>'Input - Bookings'!C413</f>
        <v>P</v>
      </c>
      <c r="C413" s="11" t="str">
        <f>'Input - Bookings'!H413</f>
        <v>AU</v>
      </c>
      <c r="D413" s="24" t="str">
        <f>'Input - Bookings'!E413</f>
        <v>065</v>
      </c>
      <c r="E413" s="24" t="str">
        <f>'Input - Bookings'!G413</f>
        <v>ADAPT-A-LIFT GROUP (NSW)</v>
      </c>
      <c r="F413" s="146" t="str">
        <f>'Input - Bookings'!I413</f>
        <v>H68610</v>
      </c>
      <c r="G413" s="24" t="str">
        <f>'Input - Bookings'!L413</f>
        <v>A6W9</v>
      </c>
      <c r="H413" s="24" t="str">
        <f>'Input - Bookings'!M413</f>
        <v>PC1.5</v>
      </c>
      <c r="I413" s="24" t="str">
        <f>'Input - Bookings'!B413</f>
        <v>AUD</v>
      </c>
      <c r="J413" s="13" t="str">
        <f>IF(I413="USD",INDEX('AP Plants'!A:A,MATCH(G413,'AP Plants'!D:D,0)),INDEX('Australia Plants'!A:A,MATCH(G413,'Australia Plants'!D:D,0)))</f>
        <v>Staxx</v>
      </c>
      <c r="K413" s="73">
        <v>1</v>
      </c>
      <c r="L413" s="97">
        <v>2140</v>
      </c>
      <c r="M413" s="97">
        <v>1282.92</v>
      </c>
      <c r="N413" s="99">
        <v>0.15563392142436872</v>
      </c>
      <c r="O413" s="25">
        <f t="shared" si="144"/>
        <v>0.40050467289719627</v>
      </c>
      <c r="P413" s="14">
        <f>IFERROR(IF(OR(B413&amp;C413="PAU",B413&amp;C413="AIN"),VLOOKUP(B413&amp;C413&amp;G413,#REF!,8,0),VLOOKUP(B413&amp;G413,#REF!,8,0)),0)</f>
        <v>0</v>
      </c>
      <c r="Q413" s="15">
        <f t="shared" si="145"/>
        <v>0.15563392142436872</v>
      </c>
      <c r="R413" s="16" t="str">
        <f t="shared" si="146"/>
        <v>AOP</v>
      </c>
      <c r="S413" s="17">
        <f t="shared" si="140"/>
        <v>199.66587047375111</v>
      </c>
      <c r="T413" s="18" t="e">
        <f t="shared" si="147"/>
        <v>#DIV/0!</v>
      </c>
      <c r="U413" s="23" t="e">
        <f t="shared" si="136"/>
        <v>#DIV/0!</v>
      </c>
      <c r="Y413" s="8" t="str">
        <f t="shared" si="148"/>
        <v>PAUH68610PC1.5</v>
      </c>
      <c r="Z413" s="8" t="str">
        <f>IF(Y413='Input - Bookings'!Q646,"OK","Check")</f>
        <v>Check</v>
      </c>
      <c r="AA413" s="118"/>
      <c r="AB413" s="103"/>
      <c r="AC413" s="103"/>
      <c r="AD413" s="100">
        <f t="shared" si="150"/>
        <v>641.02582576834698</v>
      </c>
      <c r="AE413" s="98"/>
      <c r="AF413" s="8" t="str">
        <f t="array" ref="AF413">_xlfn.XLOOKUP($G413,'AP Plants'!D:D,'AP Plants'!B:B)</f>
        <v>Class 3</v>
      </c>
      <c r="AG413" s="102">
        <f>AD413*'Currency &amp; Conversion'!$L$6</f>
        <v>954.61565973422239</v>
      </c>
      <c r="AH413" s="102"/>
      <c r="AI413" s="44">
        <v>1.4999999999999999E-2</v>
      </c>
      <c r="AJ413" s="15">
        <f>_xlfn.XLOOKUP($AF413,Warranty!B:B,Warranty!E:E)</f>
        <v>1.4999999999999999E-2</v>
      </c>
      <c r="AK413" s="8">
        <f>IF($I413="AUD",VLOOKUP(RIGHT('Wk - Margins'!$G413,3),'AU Freight'!C:G,5,0),0)</f>
        <v>100</v>
      </c>
      <c r="AL413" s="15">
        <f t="shared" si="137"/>
        <v>0</v>
      </c>
      <c r="AM413" s="61">
        <f t="shared" si="149"/>
        <v>1083.254129526249</v>
      </c>
      <c r="AN413" s="63">
        <f t="shared" si="138"/>
        <v>0.15563392142436872</v>
      </c>
      <c r="AQ413" s="147"/>
    </row>
    <row r="414" spans="1:43">
      <c r="A414" s="10" t="str">
        <f>'Input - Bookings'!A414</f>
        <v>10-27</v>
      </c>
      <c r="B414" s="11" t="str">
        <f>'Input - Bookings'!C414</f>
        <v>P</v>
      </c>
      <c r="C414" s="11" t="str">
        <f>'Input - Bookings'!H414</f>
        <v>AU</v>
      </c>
      <c r="D414" s="24" t="str">
        <f>'Input - Bookings'!E414</f>
        <v>065</v>
      </c>
      <c r="E414" s="24" t="str">
        <f>'Input - Bookings'!G414</f>
        <v>ADAPT-A-LIFT GROUP (NSW)</v>
      </c>
      <c r="F414" s="146" t="str">
        <f>'Input - Bookings'!I414</f>
        <v>H68611</v>
      </c>
      <c r="G414" s="24" t="str">
        <f>'Input - Bookings'!L414</f>
        <v>A6W9</v>
      </c>
      <c r="H414" s="24" t="str">
        <f>'Input - Bookings'!M414</f>
        <v>PC1.5</v>
      </c>
      <c r="I414" s="24" t="str">
        <f>'Input - Bookings'!B414</f>
        <v>AUD</v>
      </c>
      <c r="J414" s="13" t="str">
        <f>IF(I414="USD",INDEX('AP Plants'!A:A,MATCH(G414,'AP Plants'!D:D,0)),INDEX('Australia Plants'!A:A,MATCH(G414,'Australia Plants'!D:D,0)))</f>
        <v>Staxx</v>
      </c>
      <c r="K414" s="73">
        <v>1</v>
      </c>
      <c r="L414" s="97">
        <v>2140</v>
      </c>
      <c r="M414" s="97">
        <v>1282.92</v>
      </c>
      <c r="N414" s="99">
        <v>0.15563392142436872</v>
      </c>
      <c r="O414" s="25">
        <f t="shared" si="144"/>
        <v>0.40050467289719627</v>
      </c>
      <c r="P414" s="14">
        <f>IFERROR(IF(OR(B414&amp;C414="PAU",B414&amp;C414="AIN"),VLOOKUP(B414&amp;C414&amp;G414,#REF!,8,0),VLOOKUP(B414&amp;G414,#REF!,8,0)),0)</f>
        <v>0</v>
      </c>
      <c r="Q414" s="15">
        <f t="shared" si="145"/>
        <v>0.15563392142436872</v>
      </c>
      <c r="R414" s="16" t="str">
        <f t="shared" si="146"/>
        <v>AOP</v>
      </c>
      <c r="S414" s="17">
        <f t="shared" si="140"/>
        <v>199.66587047375111</v>
      </c>
      <c r="T414" s="18" t="e">
        <f t="shared" si="147"/>
        <v>#DIV/0!</v>
      </c>
      <c r="U414" s="23" t="e">
        <f t="shared" si="136"/>
        <v>#DIV/0!</v>
      </c>
      <c r="Y414" s="8" t="str">
        <f t="shared" si="148"/>
        <v>PAUH68611PC1.5</v>
      </c>
      <c r="Z414" s="8" t="str">
        <f>IF(Y414='Input - Bookings'!Q647,"OK","Check")</f>
        <v>Check</v>
      </c>
      <c r="AA414" s="118"/>
      <c r="AB414" s="103"/>
      <c r="AC414" s="103"/>
      <c r="AD414" s="100">
        <f t="shared" si="150"/>
        <v>641.02582576834698</v>
      </c>
      <c r="AE414" s="98"/>
      <c r="AF414" s="8" t="str">
        <f t="array" ref="AF414">_xlfn.XLOOKUP($G414,'AP Plants'!D:D,'AP Plants'!B:B)</f>
        <v>Class 3</v>
      </c>
      <c r="AG414" s="102">
        <f>AD414*'Currency &amp; Conversion'!$L$6</f>
        <v>954.61565973422239</v>
      </c>
      <c r="AH414" s="102"/>
      <c r="AI414" s="44">
        <v>1.4999999999999999E-2</v>
      </c>
      <c r="AJ414" s="15">
        <f>_xlfn.XLOOKUP($AF414,Warranty!B:B,Warranty!E:E)</f>
        <v>1.4999999999999999E-2</v>
      </c>
      <c r="AK414" s="8">
        <f>IF($I414="AUD",VLOOKUP(RIGHT('Wk - Margins'!$G414,3),'AU Freight'!C:G,5,0),0)</f>
        <v>100</v>
      </c>
      <c r="AL414" s="15">
        <f t="shared" si="137"/>
        <v>0</v>
      </c>
      <c r="AM414" s="61">
        <f t="shared" si="149"/>
        <v>1083.254129526249</v>
      </c>
      <c r="AN414" s="63">
        <f t="shared" si="138"/>
        <v>0.15563392142436872</v>
      </c>
      <c r="AQ414" s="147"/>
    </row>
    <row r="415" spans="1:43">
      <c r="A415" s="10" t="str">
        <f>'Input - Bookings'!A415</f>
        <v>10-27</v>
      </c>
      <c r="B415" s="11" t="str">
        <f>'Input - Bookings'!C415</f>
        <v>P</v>
      </c>
      <c r="C415" s="11" t="str">
        <f>'Input - Bookings'!H415</f>
        <v>AU</v>
      </c>
      <c r="D415" s="24" t="str">
        <f>'Input - Bookings'!E415</f>
        <v>065</v>
      </c>
      <c r="E415" s="24" t="str">
        <f>'Input - Bookings'!G415</f>
        <v>ADAPT-A-LIFT GROUP (NSW)</v>
      </c>
      <c r="F415" s="146" t="str">
        <f>'Input - Bookings'!I415</f>
        <v>H68612</v>
      </c>
      <c r="G415" s="24" t="str">
        <f>'Input - Bookings'!L415</f>
        <v>A6W9</v>
      </c>
      <c r="H415" s="24" t="str">
        <f>'Input - Bookings'!M415</f>
        <v>PC1.5</v>
      </c>
      <c r="I415" s="24" t="str">
        <f>'Input - Bookings'!B415</f>
        <v>AUD</v>
      </c>
      <c r="J415" s="13" t="str">
        <f>IF(I415="USD",INDEX('AP Plants'!A:A,MATCH(G415,'AP Plants'!D:D,0)),INDEX('Australia Plants'!A:A,MATCH(G415,'Australia Plants'!D:D,0)))</f>
        <v>Staxx</v>
      </c>
      <c r="K415" s="73">
        <v>1</v>
      </c>
      <c r="L415" s="97">
        <v>2140</v>
      </c>
      <c r="M415" s="97">
        <v>1282.92</v>
      </c>
      <c r="N415" s="99">
        <v>0.15563392142436872</v>
      </c>
      <c r="O415" s="25">
        <f t="shared" si="144"/>
        <v>0.40050467289719627</v>
      </c>
      <c r="P415" s="14">
        <f>IFERROR(IF(OR(B415&amp;C415="PAU",B415&amp;C415="AIN"),VLOOKUP(B415&amp;C415&amp;G415,#REF!,8,0),VLOOKUP(B415&amp;G415,#REF!,8,0)),0)</f>
        <v>0</v>
      </c>
      <c r="Q415" s="15">
        <f t="shared" si="145"/>
        <v>0.15563392142436872</v>
      </c>
      <c r="R415" s="16" t="str">
        <f t="shared" si="146"/>
        <v>AOP</v>
      </c>
      <c r="S415" s="17">
        <f t="shared" si="140"/>
        <v>199.66587047375111</v>
      </c>
      <c r="T415" s="18" t="e">
        <f t="shared" si="147"/>
        <v>#DIV/0!</v>
      </c>
      <c r="U415" s="23" t="e">
        <f t="shared" si="136"/>
        <v>#DIV/0!</v>
      </c>
      <c r="Y415" s="8" t="str">
        <f t="shared" si="148"/>
        <v>PAUH68612PC1.5</v>
      </c>
      <c r="Z415" s="8" t="str">
        <f>IF(Y415='Input - Bookings'!Q648,"OK","Check")</f>
        <v>Check</v>
      </c>
      <c r="AA415" s="118"/>
      <c r="AB415" s="103"/>
      <c r="AC415" s="103"/>
      <c r="AD415" s="100">
        <f t="shared" si="150"/>
        <v>641.02582576834698</v>
      </c>
      <c r="AE415" s="110"/>
      <c r="AF415" s="8" t="str">
        <f t="array" ref="AF415">_xlfn.XLOOKUP($G415,'AP Plants'!D:D,'AP Plants'!B:B)</f>
        <v>Class 3</v>
      </c>
      <c r="AG415" s="102">
        <f>AD415*'Currency &amp; Conversion'!$L$6</f>
        <v>954.61565973422239</v>
      </c>
      <c r="AH415" s="102"/>
      <c r="AI415" s="44">
        <v>1.4999999999999999E-2</v>
      </c>
      <c r="AJ415" s="15">
        <f>_xlfn.XLOOKUP($AF415,Warranty!B:B,Warranty!E:E)</f>
        <v>1.4999999999999999E-2</v>
      </c>
      <c r="AK415" s="8">
        <f>IF($I415="AUD",VLOOKUP(RIGHT('Wk - Margins'!$G415,3),'AU Freight'!C:G,5,0),0)</f>
        <v>100</v>
      </c>
      <c r="AL415" s="15">
        <f t="shared" si="137"/>
        <v>0</v>
      </c>
      <c r="AM415" s="61">
        <f t="shared" si="149"/>
        <v>1083.254129526249</v>
      </c>
      <c r="AN415" s="63">
        <f t="shared" si="138"/>
        <v>0.15563392142436872</v>
      </c>
      <c r="AQ415" s="147"/>
    </row>
    <row r="416" spans="1:43">
      <c r="A416" s="10" t="str">
        <f>'Input - Bookings'!A416</f>
        <v>10-27</v>
      </c>
      <c r="B416" s="11" t="str">
        <f>'Input - Bookings'!C416</f>
        <v>P</v>
      </c>
      <c r="C416" s="11" t="str">
        <f>'Input - Bookings'!H416</f>
        <v>AU</v>
      </c>
      <c r="D416" s="24" t="str">
        <f>'Input - Bookings'!E416</f>
        <v>065</v>
      </c>
      <c r="E416" s="24" t="str">
        <f>'Input - Bookings'!G416</f>
        <v>ADAPT-A-LIFT GROUP (NSW)</v>
      </c>
      <c r="F416" s="146" t="str">
        <f>'Input - Bookings'!I416</f>
        <v>H68613</v>
      </c>
      <c r="G416" s="24" t="str">
        <f>'Input - Bookings'!L416</f>
        <v>A6W9</v>
      </c>
      <c r="H416" s="24" t="str">
        <f>'Input - Bookings'!M416</f>
        <v>PC1.5</v>
      </c>
      <c r="I416" s="24" t="str">
        <f>'Input - Bookings'!B416</f>
        <v>AUD</v>
      </c>
      <c r="J416" s="13" t="str">
        <f>IF(I416="USD",INDEX('AP Plants'!A:A,MATCH(G416,'AP Plants'!D:D,0)),INDEX('Australia Plants'!A:A,MATCH(G416,'Australia Plants'!D:D,0)))</f>
        <v>Staxx</v>
      </c>
      <c r="K416" s="73">
        <v>1</v>
      </c>
      <c r="L416" s="97">
        <v>2140</v>
      </c>
      <c r="M416" s="97">
        <v>1282.92</v>
      </c>
      <c r="N416" s="99">
        <v>0.15563392142436872</v>
      </c>
      <c r="O416" s="25">
        <f t="shared" si="144"/>
        <v>0.40050467289719627</v>
      </c>
      <c r="P416" s="14">
        <f>IFERROR(IF(OR(B416&amp;C416="PAU",B416&amp;C416="AIN"),VLOOKUP(B416&amp;C416&amp;G416,#REF!,8,0),VLOOKUP(B416&amp;G416,#REF!,8,0)),0)</f>
        <v>0</v>
      </c>
      <c r="Q416" s="15">
        <f t="shared" si="145"/>
        <v>0.15563392142436872</v>
      </c>
      <c r="R416" s="16" t="str">
        <f t="shared" si="146"/>
        <v>AOP</v>
      </c>
      <c r="S416" s="17">
        <f t="shared" si="140"/>
        <v>199.66587047375111</v>
      </c>
      <c r="T416" s="18" t="e">
        <f t="shared" si="147"/>
        <v>#DIV/0!</v>
      </c>
      <c r="U416" s="23" t="e">
        <f t="shared" si="136"/>
        <v>#DIV/0!</v>
      </c>
      <c r="Y416" s="8" t="str">
        <f t="shared" si="148"/>
        <v>PAUH68613PC1.5</v>
      </c>
      <c r="Z416" s="8" t="str">
        <f>IF(Y416='Input - Bookings'!Q649,"OK","Check")</f>
        <v>Check</v>
      </c>
      <c r="AA416" s="139"/>
      <c r="AB416" s="103"/>
      <c r="AC416" s="103"/>
      <c r="AD416" s="100">
        <f t="shared" si="150"/>
        <v>641.02582576834698</v>
      </c>
      <c r="AE416" s="100"/>
      <c r="AF416" s="8" t="str">
        <f t="array" ref="AF416">_xlfn.XLOOKUP($G416,'AP Plants'!D:D,'AP Plants'!B:B)</f>
        <v>Class 3</v>
      </c>
      <c r="AG416" s="102">
        <f>AD416*'Currency &amp; Conversion'!$L$6</f>
        <v>954.61565973422239</v>
      </c>
      <c r="AH416" s="102"/>
      <c r="AI416" s="44">
        <v>1.4999999999999999E-2</v>
      </c>
      <c r="AJ416" s="15">
        <f>_xlfn.XLOOKUP($AF416,Warranty!B:B,Warranty!E:E)</f>
        <v>1.4999999999999999E-2</v>
      </c>
      <c r="AK416" s="8">
        <f>IF($I416="AUD",VLOOKUP(RIGHT('Wk - Margins'!$G416,3),'AU Freight'!C:G,5,0),0)</f>
        <v>100</v>
      </c>
      <c r="AL416" s="15">
        <f t="shared" si="137"/>
        <v>0</v>
      </c>
      <c r="AM416" s="61">
        <f t="shared" si="149"/>
        <v>1083.254129526249</v>
      </c>
      <c r="AN416" s="63">
        <f t="shared" si="138"/>
        <v>0.15563392142436872</v>
      </c>
      <c r="AQ416" s="147"/>
    </row>
    <row r="417" spans="1:43">
      <c r="A417" s="10" t="str">
        <f>'Input - Bookings'!A417</f>
        <v>10-27</v>
      </c>
      <c r="B417" s="11" t="str">
        <f>'Input - Bookings'!C417</f>
        <v>P</v>
      </c>
      <c r="C417" s="11" t="str">
        <f>'Input - Bookings'!H417</f>
        <v>AU</v>
      </c>
      <c r="D417" s="24" t="str">
        <f>'Input - Bookings'!E417</f>
        <v>065</v>
      </c>
      <c r="E417" s="24" t="str">
        <f>'Input - Bookings'!G417</f>
        <v>ADAPT-A-LIFT GROUP (NSW)</v>
      </c>
      <c r="F417" s="146" t="str">
        <f>'Input - Bookings'!I417</f>
        <v>H68614</v>
      </c>
      <c r="G417" s="24" t="str">
        <f>'Input - Bookings'!L417</f>
        <v>A6W9</v>
      </c>
      <c r="H417" s="24" t="str">
        <f>'Input - Bookings'!M417</f>
        <v>PC1.5</v>
      </c>
      <c r="I417" s="24" t="str">
        <f>'Input - Bookings'!B417</f>
        <v>AUD</v>
      </c>
      <c r="J417" s="13" t="str">
        <f>IF(I417="USD",INDEX('AP Plants'!A:A,MATCH(G417,'AP Plants'!D:D,0)),INDEX('Australia Plants'!A:A,MATCH(G417,'Australia Plants'!D:D,0)))</f>
        <v>Staxx</v>
      </c>
      <c r="K417" s="73">
        <v>1</v>
      </c>
      <c r="L417" s="97">
        <v>2140</v>
      </c>
      <c r="M417" s="97">
        <v>1282.92</v>
      </c>
      <c r="N417" s="99">
        <v>0.15563392142436872</v>
      </c>
      <c r="O417" s="25">
        <f t="shared" si="144"/>
        <v>0.40050467289719627</v>
      </c>
      <c r="P417" s="14">
        <f>IFERROR(IF(OR(B417&amp;C417="PAU",B417&amp;C417="AIN"),VLOOKUP(B417&amp;C417&amp;G417,#REF!,8,0),VLOOKUP(B417&amp;G417,#REF!,8,0)),0)</f>
        <v>0</v>
      </c>
      <c r="Q417" s="15">
        <f t="shared" si="145"/>
        <v>0.15563392142436872</v>
      </c>
      <c r="R417" s="16" t="str">
        <f t="shared" si="146"/>
        <v>AOP</v>
      </c>
      <c r="S417" s="17">
        <f t="shared" si="140"/>
        <v>199.66587047375111</v>
      </c>
      <c r="T417" s="18" t="e">
        <f t="shared" si="147"/>
        <v>#DIV/0!</v>
      </c>
      <c r="U417" s="23" t="e">
        <f t="shared" si="136"/>
        <v>#DIV/0!</v>
      </c>
      <c r="Y417" s="8" t="str">
        <f t="shared" si="148"/>
        <v>PAUH68614PC1.5</v>
      </c>
      <c r="Z417" s="8" t="str">
        <f>IF(Y417='Input - Bookings'!Q650,"OK","Check")</f>
        <v>Check</v>
      </c>
      <c r="AA417" s="139"/>
      <c r="AB417" s="103"/>
      <c r="AC417" s="103"/>
      <c r="AD417" s="100">
        <f t="shared" si="150"/>
        <v>641.02582576834698</v>
      </c>
      <c r="AE417" s="100"/>
      <c r="AF417" s="8" t="str">
        <f t="array" ref="AF417">_xlfn.XLOOKUP($G417,'AP Plants'!D:D,'AP Plants'!B:B)</f>
        <v>Class 3</v>
      </c>
      <c r="AG417" s="102">
        <f>AD417*'Currency &amp; Conversion'!$L$6</f>
        <v>954.61565973422239</v>
      </c>
      <c r="AH417" s="102"/>
      <c r="AI417" s="44">
        <v>1.4999999999999999E-2</v>
      </c>
      <c r="AJ417" s="15">
        <f>_xlfn.XLOOKUP($AF417,Warranty!B:B,Warranty!E:E)</f>
        <v>1.4999999999999999E-2</v>
      </c>
      <c r="AK417" s="8">
        <f>IF($I417="AUD",VLOOKUP(RIGHT('Wk - Margins'!$G417,3),'AU Freight'!C:G,5,0),0)</f>
        <v>100</v>
      </c>
      <c r="AL417" s="15">
        <f t="shared" si="137"/>
        <v>0</v>
      </c>
      <c r="AM417" s="61">
        <f t="shared" si="149"/>
        <v>1083.254129526249</v>
      </c>
      <c r="AN417" s="63">
        <f t="shared" si="138"/>
        <v>0.15563392142436872</v>
      </c>
      <c r="AQ417" s="147"/>
    </row>
    <row r="418" spans="1:43">
      <c r="A418" s="10" t="str">
        <f>'Input - Bookings'!A418</f>
        <v>10-27</v>
      </c>
      <c r="B418" s="11" t="str">
        <f>'Input - Bookings'!C418</f>
        <v>P</v>
      </c>
      <c r="C418" s="11" t="str">
        <f>'Input - Bookings'!H418</f>
        <v>AU</v>
      </c>
      <c r="D418" s="24" t="str">
        <f>'Input - Bookings'!E418</f>
        <v>065</v>
      </c>
      <c r="E418" s="24" t="str">
        <f>'Input - Bookings'!G418</f>
        <v>ADAPT-A-LIFT GROUP (NSW)</v>
      </c>
      <c r="F418" s="146" t="str">
        <f>'Input - Bookings'!I418</f>
        <v>H68615</v>
      </c>
      <c r="G418" s="24" t="str">
        <f>'Input - Bookings'!L418</f>
        <v>A6W9</v>
      </c>
      <c r="H418" s="24" t="str">
        <f>'Input - Bookings'!M418</f>
        <v>PC1.5</v>
      </c>
      <c r="I418" s="24" t="str">
        <f>'Input - Bookings'!B418</f>
        <v>AUD</v>
      </c>
      <c r="J418" s="13" t="str">
        <f>IF(I418="USD",INDEX('AP Plants'!A:A,MATCH(G418,'AP Plants'!D:D,0)),INDEX('Australia Plants'!A:A,MATCH(G418,'Australia Plants'!D:D,0)))</f>
        <v>Staxx</v>
      </c>
      <c r="K418" s="73">
        <v>1</v>
      </c>
      <c r="L418" s="97">
        <v>2140</v>
      </c>
      <c r="M418" s="97">
        <v>1282.92</v>
      </c>
      <c r="N418" s="99">
        <v>0.15563392142436872</v>
      </c>
      <c r="O418" s="25">
        <f t="shared" si="144"/>
        <v>0.40050467289719627</v>
      </c>
      <c r="P418" s="14">
        <f>IFERROR(IF(OR(B418&amp;C418="PAU",B418&amp;C418="AIN"),VLOOKUP(B418&amp;C418&amp;G418,#REF!,8,0),VLOOKUP(B418&amp;G418,#REF!,8,0)),0)</f>
        <v>0</v>
      </c>
      <c r="Q418" s="15">
        <f t="shared" si="145"/>
        <v>0.15563392142436872</v>
      </c>
      <c r="R418" s="16" t="str">
        <f t="shared" si="146"/>
        <v>AOP</v>
      </c>
      <c r="S418" s="17">
        <f t="shared" si="140"/>
        <v>199.66587047375111</v>
      </c>
      <c r="T418" s="18" t="e">
        <f t="shared" si="147"/>
        <v>#DIV/0!</v>
      </c>
      <c r="U418" s="23" t="e">
        <f t="shared" si="136"/>
        <v>#DIV/0!</v>
      </c>
      <c r="Y418" s="8" t="str">
        <f t="shared" si="148"/>
        <v>PAUH68615PC1.5</v>
      </c>
      <c r="Z418" s="8" t="str">
        <f>IF(Y418='Input - Bookings'!Q651,"OK","Check")</f>
        <v>Check</v>
      </c>
      <c r="AA418" s="139"/>
      <c r="AB418" s="103"/>
      <c r="AC418" s="103"/>
      <c r="AD418" s="100">
        <f t="shared" si="150"/>
        <v>641.02582576834698</v>
      </c>
      <c r="AE418" s="100"/>
      <c r="AF418" s="8" t="str">
        <f t="array" ref="AF418">_xlfn.XLOOKUP($G418,'AP Plants'!D:D,'AP Plants'!B:B)</f>
        <v>Class 3</v>
      </c>
      <c r="AG418" s="102">
        <f>AD418*'Currency &amp; Conversion'!$L$6</f>
        <v>954.61565973422239</v>
      </c>
      <c r="AH418" s="102"/>
      <c r="AI418" s="44">
        <v>1.4999999999999999E-2</v>
      </c>
      <c r="AJ418" s="15">
        <f>_xlfn.XLOOKUP($AF418,Warranty!B:B,Warranty!E:E)</f>
        <v>1.4999999999999999E-2</v>
      </c>
      <c r="AK418" s="8">
        <f>IF($I418="AUD",VLOOKUP(RIGHT('Wk - Margins'!$G418,3),'AU Freight'!C:G,5,0),0)</f>
        <v>100</v>
      </c>
      <c r="AL418" s="15">
        <f t="shared" si="137"/>
        <v>0</v>
      </c>
      <c r="AM418" s="61">
        <f t="shared" si="149"/>
        <v>1083.254129526249</v>
      </c>
      <c r="AN418" s="63">
        <f t="shared" si="138"/>
        <v>0.15563392142436872</v>
      </c>
      <c r="AQ418" s="147"/>
    </row>
    <row r="419" spans="1:43">
      <c r="A419" s="10" t="str">
        <f>'Input - Bookings'!A419</f>
        <v>10-27</v>
      </c>
      <c r="B419" s="11" t="str">
        <f>'Input - Bookings'!C419</f>
        <v>P</v>
      </c>
      <c r="C419" s="11" t="str">
        <f>'Input - Bookings'!H419</f>
        <v>AU</v>
      </c>
      <c r="D419" s="24" t="str">
        <f>'Input - Bookings'!E419</f>
        <v>065</v>
      </c>
      <c r="E419" s="24" t="str">
        <f>'Input - Bookings'!G419</f>
        <v>ADAPT-A-LIFT GROUP (NSW)</v>
      </c>
      <c r="F419" s="146" t="str">
        <f>'Input - Bookings'!I419</f>
        <v>H68616</v>
      </c>
      <c r="G419" s="24" t="str">
        <f>'Input - Bookings'!L419</f>
        <v>A6W9</v>
      </c>
      <c r="H419" s="24" t="str">
        <f>'Input - Bookings'!M419</f>
        <v>PC1.5</v>
      </c>
      <c r="I419" s="24" t="str">
        <f>'Input - Bookings'!B419</f>
        <v>AUD</v>
      </c>
      <c r="J419" s="13" t="str">
        <f>IF(I419="USD",INDEX('AP Plants'!A:A,MATCH(G419,'AP Plants'!D:D,0)),INDEX('Australia Plants'!A:A,MATCH(G419,'Australia Plants'!D:D,0)))</f>
        <v>Staxx</v>
      </c>
      <c r="K419" s="73">
        <v>1</v>
      </c>
      <c r="L419" s="97">
        <v>2140</v>
      </c>
      <c r="M419" s="97">
        <v>1282.92</v>
      </c>
      <c r="N419" s="99">
        <v>0.15563392142436872</v>
      </c>
      <c r="O419" s="25">
        <f t="shared" si="144"/>
        <v>0.40050467289719627</v>
      </c>
      <c r="P419" s="14">
        <f>IFERROR(IF(OR(B419&amp;C419="PAU",B419&amp;C419="AIN"),VLOOKUP(B419&amp;C419&amp;G419,#REF!,8,0),VLOOKUP(B419&amp;G419,#REF!,8,0)),0)</f>
        <v>0</v>
      </c>
      <c r="Q419" s="15">
        <f t="shared" si="145"/>
        <v>0.15563392142436872</v>
      </c>
      <c r="R419" s="16" t="str">
        <f t="shared" si="146"/>
        <v>AOP</v>
      </c>
      <c r="S419" s="17">
        <f t="shared" si="140"/>
        <v>199.66587047375111</v>
      </c>
      <c r="T419" s="18" t="e">
        <f t="shared" si="147"/>
        <v>#DIV/0!</v>
      </c>
      <c r="U419" s="23" t="e">
        <f t="shared" si="136"/>
        <v>#DIV/0!</v>
      </c>
      <c r="Y419" s="8" t="str">
        <f t="shared" si="148"/>
        <v>PAUH68616PC1.5</v>
      </c>
      <c r="Z419" s="8" t="str">
        <f>IF(Y419='Input - Bookings'!Q652,"OK","Check")</f>
        <v>Check</v>
      </c>
      <c r="AA419" s="139"/>
      <c r="AB419" s="103"/>
      <c r="AC419" s="103"/>
      <c r="AD419" s="100">
        <f t="shared" si="150"/>
        <v>641.02582576834698</v>
      </c>
      <c r="AE419" s="100"/>
      <c r="AF419" s="8" t="str">
        <f t="array" ref="AF419">_xlfn.XLOOKUP($G419,'AP Plants'!D:D,'AP Plants'!B:B)</f>
        <v>Class 3</v>
      </c>
      <c r="AG419" s="102">
        <f>AD419*'Currency &amp; Conversion'!$L$6</f>
        <v>954.61565973422239</v>
      </c>
      <c r="AH419" s="102"/>
      <c r="AI419" s="44">
        <v>1.4999999999999999E-2</v>
      </c>
      <c r="AJ419" s="15">
        <f>_xlfn.XLOOKUP($AF419,Warranty!B:B,Warranty!E:E)</f>
        <v>1.4999999999999999E-2</v>
      </c>
      <c r="AK419" s="8">
        <f>IF($I419="AUD",VLOOKUP(RIGHT('Wk - Margins'!$G419,3),'AU Freight'!C:G,5,0),0)</f>
        <v>100</v>
      </c>
      <c r="AL419" s="15">
        <f t="shared" si="137"/>
        <v>0</v>
      </c>
      <c r="AM419" s="61">
        <f t="shared" si="149"/>
        <v>1083.254129526249</v>
      </c>
      <c r="AN419" s="63">
        <f t="shared" si="138"/>
        <v>0.15563392142436872</v>
      </c>
      <c r="AQ419" s="147"/>
    </row>
    <row r="420" spans="1:43">
      <c r="A420" s="10" t="str">
        <f>'Input - Bookings'!A420</f>
        <v>10-27</v>
      </c>
      <c r="B420" s="11" t="str">
        <f>'Input - Bookings'!C420</f>
        <v>P</v>
      </c>
      <c r="C420" s="11" t="str">
        <f>'Input - Bookings'!H420</f>
        <v>AU</v>
      </c>
      <c r="D420" s="24" t="str">
        <f>'Input - Bookings'!E420</f>
        <v>065</v>
      </c>
      <c r="E420" s="24" t="str">
        <f>'Input - Bookings'!G420</f>
        <v>ADAPT-A-LIFT GROUP (NSW)</v>
      </c>
      <c r="F420" s="146" t="str">
        <f>'Input - Bookings'!I420</f>
        <v>H68617</v>
      </c>
      <c r="G420" s="24" t="str">
        <f>'Input - Bookings'!L420</f>
        <v>A6W9</v>
      </c>
      <c r="H420" s="24" t="str">
        <f>'Input - Bookings'!M420</f>
        <v>PC1.5</v>
      </c>
      <c r="I420" s="24" t="str">
        <f>'Input - Bookings'!B420</f>
        <v>AUD</v>
      </c>
      <c r="J420" s="13" t="str">
        <f>IF(I420="USD",INDEX('AP Plants'!A:A,MATCH(G420,'AP Plants'!D:D,0)),INDEX('Australia Plants'!A:A,MATCH(G420,'Australia Plants'!D:D,0)))</f>
        <v>Staxx</v>
      </c>
      <c r="K420" s="73">
        <v>1</v>
      </c>
      <c r="L420" s="97">
        <v>2140</v>
      </c>
      <c r="M420" s="97">
        <v>1282.92</v>
      </c>
      <c r="N420" s="99">
        <v>0.15563392142436872</v>
      </c>
      <c r="O420" s="25">
        <f t="shared" si="144"/>
        <v>0.40050467289719627</v>
      </c>
      <c r="P420" s="14">
        <f>IFERROR(IF(OR(B420&amp;C420="PAU",B420&amp;C420="AIN"),VLOOKUP(B420&amp;C420&amp;G420,#REF!,8,0),VLOOKUP(B420&amp;G420,#REF!,8,0)),0)</f>
        <v>0</v>
      </c>
      <c r="Q420" s="15">
        <f t="shared" si="145"/>
        <v>0.15563392142436872</v>
      </c>
      <c r="R420" s="16" t="str">
        <f t="shared" si="146"/>
        <v>AOP</v>
      </c>
      <c r="S420" s="17">
        <f t="shared" si="140"/>
        <v>199.66587047375111</v>
      </c>
      <c r="T420" s="18" t="e">
        <f t="shared" si="147"/>
        <v>#DIV/0!</v>
      </c>
      <c r="U420" s="23" t="e">
        <f t="shared" si="136"/>
        <v>#DIV/0!</v>
      </c>
      <c r="Y420" s="8" t="str">
        <f t="shared" si="148"/>
        <v>PAUH68617PC1.5</v>
      </c>
      <c r="Z420" s="8" t="str">
        <f>IF(Y420='Input - Bookings'!Q653,"OK","Check")</f>
        <v>Check</v>
      </c>
      <c r="AA420" s="139"/>
      <c r="AB420" s="103"/>
      <c r="AC420" s="103"/>
      <c r="AD420" s="100">
        <f t="shared" si="150"/>
        <v>641.02582576834698</v>
      </c>
      <c r="AE420" s="100"/>
      <c r="AF420" s="8" t="str">
        <f t="array" ref="AF420">_xlfn.XLOOKUP($G420,'AP Plants'!D:D,'AP Plants'!B:B)</f>
        <v>Class 3</v>
      </c>
      <c r="AG420" s="102">
        <f>AD420*'Currency &amp; Conversion'!$L$6</f>
        <v>954.61565973422239</v>
      </c>
      <c r="AH420" s="102"/>
      <c r="AI420" s="44">
        <v>1.4999999999999999E-2</v>
      </c>
      <c r="AJ420" s="15">
        <f>_xlfn.XLOOKUP($AF420,Warranty!B:B,Warranty!E:E)</f>
        <v>1.4999999999999999E-2</v>
      </c>
      <c r="AK420" s="8">
        <f>IF($I420="AUD",VLOOKUP(RIGHT('Wk - Margins'!$G420,3),'AU Freight'!C:G,5,0),0)</f>
        <v>100</v>
      </c>
      <c r="AL420" s="15">
        <f t="shared" si="137"/>
        <v>0</v>
      </c>
      <c r="AM420" s="61">
        <f t="shared" si="149"/>
        <v>1083.254129526249</v>
      </c>
      <c r="AN420" s="63">
        <f t="shared" si="138"/>
        <v>0.15563392142436872</v>
      </c>
      <c r="AQ420" s="147"/>
    </row>
    <row r="421" spans="1:43">
      <c r="A421" s="10" t="str">
        <f>'Input - Bookings'!A421</f>
        <v>10-27</v>
      </c>
      <c r="B421" s="11" t="str">
        <f>'Input - Bookings'!C421</f>
        <v>P</v>
      </c>
      <c r="C421" s="11" t="str">
        <f>'Input - Bookings'!H421</f>
        <v>AU</v>
      </c>
      <c r="D421" s="24" t="str">
        <f>'Input - Bookings'!E421</f>
        <v>065</v>
      </c>
      <c r="E421" s="24" t="str">
        <f>'Input - Bookings'!G421</f>
        <v>ADAPT-A-LIFT GROUP (NSW)</v>
      </c>
      <c r="F421" s="146" t="str">
        <f>'Input - Bookings'!I421</f>
        <v>H68618</v>
      </c>
      <c r="G421" s="24" t="str">
        <f>'Input - Bookings'!L421</f>
        <v>A6W9</v>
      </c>
      <c r="H421" s="24" t="str">
        <f>'Input - Bookings'!M421</f>
        <v>PC1.5</v>
      </c>
      <c r="I421" s="24" t="str">
        <f>'Input - Bookings'!B421</f>
        <v>AUD</v>
      </c>
      <c r="J421" s="13" t="str">
        <f>IF(I421="USD",INDEX('AP Plants'!A:A,MATCH(G421,'AP Plants'!D:D,0)),INDEX('Australia Plants'!A:A,MATCH(G421,'Australia Plants'!D:D,0)))</f>
        <v>Staxx</v>
      </c>
      <c r="K421" s="73">
        <v>1</v>
      </c>
      <c r="L421" s="97">
        <v>2140</v>
      </c>
      <c r="M421" s="97">
        <v>1282.92</v>
      </c>
      <c r="N421" s="99">
        <v>0.15563392142436872</v>
      </c>
      <c r="O421" s="25">
        <f t="shared" si="144"/>
        <v>0.40050467289719627</v>
      </c>
      <c r="P421" s="14">
        <f>IFERROR(IF(OR(B421&amp;C421="PAU",B421&amp;C421="AIN"),VLOOKUP(B421&amp;C421&amp;G421,#REF!,8,0),VLOOKUP(B421&amp;G421,#REF!,8,0)),0)</f>
        <v>0</v>
      </c>
      <c r="Q421" s="15">
        <f t="shared" si="145"/>
        <v>0.15563392142436872</v>
      </c>
      <c r="R421" s="16" t="str">
        <f t="shared" si="146"/>
        <v>AOP</v>
      </c>
      <c r="S421" s="17">
        <f t="shared" si="140"/>
        <v>199.66587047375111</v>
      </c>
      <c r="T421" s="18" t="e">
        <f t="shared" si="147"/>
        <v>#DIV/0!</v>
      </c>
      <c r="U421" s="23" t="e">
        <f t="shared" si="136"/>
        <v>#DIV/0!</v>
      </c>
      <c r="Y421" s="8" t="str">
        <f t="shared" si="148"/>
        <v>PAUH68618PC1.5</v>
      </c>
      <c r="Z421" s="8" t="str">
        <f>IF(Y421='Input - Bookings'!Q654,"OK","Check")</f>
        <v>Check</v>
      </c>
      <c r="AA421" s="139"/>
      <c r="AB421" s="103"/>
      <c r="AC421" s="103"/>
      <c r="AD421" s="100">
        <f t="shared" si="150"/>
        <v>641.02582576834698</v>
      </c>
      <c r="AE421" s="100"/>
      <c r="AF421" s="8" t="str">
        <f t="array" ref="AF421">_xlfn.XLOOKUP($G421,'AP Plants'!D:D,'AP Plants'!B:B)</f>
        <v>Class 3</v>
      </c>
      <c r="AG421" s="102">
        <f>AD421*'Currency &amp; Conversion'!$L$6</f>
        <v>954.61565973422239</v>
      </c>
      <c r="AH421" s="102"/>
      <c r="AI421" s="44">
        <v>1.4999999999999999E-2</v>
      </c>
      <c r="AJ421" s="15">
        <f>_xlfn.XLOOKUP($AF421,Warranty!B:B,Warranty!E:E)</f>
        <v>1.4999999999999999E-2</v>
      </c>
      <c r="AK421" s="8">
        <f>IF($I421="AUD",VLOOKUP(RIGHT('Wk - Margins'!$G421,3),'AU Freight'!C:G,5,0),0)</f>
        <v>100</v>
      </c>
      <c r="AL421" s="15">
        <f t="shared" si="137"/>
        <v>0</v>
      </c>
      <c r="AM421" s="61">
        <f t="shared" si="149"/>
        <v>1083.254129526249</v>
      </c>
      <c r="AN421" s="63">
        <f t="shared" si="138"/>
        <v>0.15563392142436872</v>
      </c>
      <c r="AQ421" s="147"/>
    </row>
    <row r="422" spans="1:43">
      <c r="A422" s="10" t="str">
        <f>'Input - Bookings'!A422</f>
        <v>10-27</v>
      </c>
      <c r="B422" s="11" t="str">
        <f>'Input - Bookings'!C422</f>
        <v>P</v>
      </c>
      <c r="C422" s="11" t="str">
        <f>'Input - Bookings'!H422</f>
        <v>AU</v>
      </c>
      <c r="D422" s="24" t="str">
        <f>'Input - Bookings'!E422</f>
        <v>065</v>
      </c>
      <c r="E422" s="24" t="str">
        <f>'Input - Bookings'!G422</f>
        <v>ADAPT-A-LIFT GROUP (NSW)</v>
      </c>
      <c r="F422" s="146" t="str">
        <f>'Input - Bookings'!I422</f>
        <v>H68619</v>
      </c>
      <c r="G422" s="24" t="str">
        <f>'Input - Bookings'!L422</f>
        <v>A6W9</v>
      </c>
      <c r="H422" s="24" t="str">
        <f>'Input - Bookings'!M422</f>
        <v>PC1.5</v>
      </c>
      <c r="I422" s="24" t="str">
        <f>'Input - Bookings'!B422</f>
        <v>AUD</v>
      </c>
      <c r="J422" s="13" t="str">
        <f>IF(I422="USD",INDEX('AP Plants'!A:A,MATCH(G422,'AP Plants'!D:D,0)),INDEX('Australia Plants'!A:A,MATCH(G422,'Australia Plants'!D:D,0)))</f>
        <v>Staxx</v>
      </c>
      <c r="K422" s="73">
        <v>1</v>
      </c>
      <c r="L422" s="97">
        <v>2140</v>
      </c>
      <c r="M422" s="97">
        <v>1282.92</v>
      </c>
      <c r="N422" s="99">
        <v>0.15563392142436872</v>
      </c>
      <c r="O422" s="25">
        <f t="shared" si="144"/>
        <v>0.40050467289719627</v>
      </c>
      <c r="P422" s="14">
        <f>IFERROR(IF(OR(B422&amp;C422="PAU",B422&amp;C422="AIN"),VLOOKUP(B422&amp;C422&amp;G422,#REF!,8,0),VLOOKUP(B422&amp;G422,#REF!,8,0)),0)</f>
        <v>0</v>
      </c>
      <c r="Q422" s="15">
        <f t="shared" si="145"/>
        <v>0.15563392142436872</v>
      </c>
      <c r="R422" s="16" t="str">
        <f t="shared" si="146"/>
        <v>AOP</v>
      </c>
      <c r="S422" s="17">
        <f t="shared" si="140"/>
        <v>199.66587047375111</v>
      </c>
      <c r="T422" s="18" t="e">
        <f t="shared" si="147"/>
        <v>#DIV/0!</v>
      </c>
      <c r="U422" s="23" t="e">
        <f t="shared" si="136"/>
        <v>#DIV/0!</v>
      </c>
      <c r="Y422" s="8" t="str">
        <f t="shared" si="148"/>
        <v>PAUH68619PC1.5</v>
      </c>
      <c r="Z422" s="8" t="str">
        <f>IF(Y422='Input - Bookings'!Q655,"OK","Check")</f>
        <v>Check</v>
      </c>
      <c r="AA422" s="139"/>
      <c r="AB422" s="103"/>
      <c r="AC422" s="103"/>
      <c r="AD422" s="100">
        <f t="shared" si="150"/>
        <v>641.02582576834698</v>
      </c>
      <c r="AE422" s="98"/>
      <c r="AF422" s="8" t="str">
        <f t="array" ref="AF422">_xlfn.XLOOKUP($G422,'AP Plants'!D:D,'AP Plants'!B:B)</f>
        <v>Class 3</v>
      </c>
      <c r="AG422" s="102">
        <f>AD422*'Currency &amp; Conversion'!$L$6</f>
        <v>954.61565973422239</v>
      </c>
      <c r="AH422" s="102"/>
      <c r="AI422" s="44">
        <v>1.4999999999999999E-2</v>
      </c>
      <c r="AJ422" s="15">
        <f>_xlfn.XLOOKUP($AF422,Warranty!B:B,Warranty!E:E)</f>
        <v>1.4999999999999999E-2</v>
      </c>
      <c r="AK422" s="8">
        <f>IF($I422="AUD",VLOOKUP(RIGHT('Wk - Margins'!$G422,3),'AU Freight'!C:G,5,0),0)</f>
        <v>100</v>
      </c>
      <c r="AL422" s="15">
        <f t="shared" si="137"/>
        <v>0</v>
      </c>
      <c r="AM422" s="61">
        <f t="shared" si="149"/>
        <v>1083.254129526249</v>
      </c>
      <c r="AN422" s="63">
        <f t="shared" si="138"/>
        <v>0.15563392142436872</v>
      </c>
      <c r="AQ422" s="147"/>
    </row>
    <row r="423" spans="1:43">
      <c r="A423" s="10" t="str">
        <f>'Input - Bookings'!A423</f>
        <v>10-27</v>
      </c>
      <c r="B423" s="11" t="str">
        <f>'Input - Bookings'!C423</f>
        <v>P</v>
      </c>
      <c r="C423" s="11" t="str">
        <f>'Input - Bookings'!H423</f>
        <v>AU</v>
      </c>
      <c r="D423" s="24" t="str">
        <f>'Input - Bookings'!E423</f>
        <v>065</v>
      </c>
      <c r="E423" s="24" t="str">
        <f>'Input - Bookings'!G423</f>
        <v>ADAPT-A-LIFT GROUP (NSW)</v>
      </c>
      <c r="F423" s="146" t="str">
        <f>'Input - Bookings'!I423</f>
        <v>H68620</v>
      </c>
      <c r="G423" s="24" t="str">
        <f>'Input - Bookings'!L423</f>
        <v>A6W9</v>
      </c>
      <c r="H423" s="24" t="str">
        <f>'Input - Bookings'!M423</f>
        <v>PC1.5</v>
      </c>
      <c r="I423" s="24" t="str">
        <f>'Input - Bookings'!B423</f>
        <v>AUD</v>
      </c>
      <c r="J423" s="13" t="str">
        <f>IF(I423="USD",INDEX('AP Plants'!A:A,MATCH(G423,'AP Plants'!D:D,0)),INDEX('Australia Plants'!A:A,MATCH(G423,'Australia Plants'!D:D,0)))</f>
        <v>Staxx</v>
      </c>
      <c r="K423" s="73">
        <v>1</v>
      </c>
      <c r="L423" s="97">
        <v>2140</v>
      </c>
      <c r="M423" s="97">
        <v>1282.92</v>
      </c>
      <c r="N423" s="99">
        <v>0.15563392142436872</v>
      </c>
      <c r="O423" s="25">
        <f t="shared" si="144"/>
        <v>0.40050467289719627</v>
      </c>
      <c r="P423" s="14">
        <f>IFERROR(IF(OR(B423&amp;C423="PAU",B423&amp;C423="AIN"),VLOOKUP(B423&amp;C423&amp;G423,#REF!,8,0),VLOOKUP(B423&amp;G423,#REF!,8,0)),0)</f>
        <v>0</v>
      </c>
      <c r="Q423" s="15">
        <f t="shared" si="145"/>
        <v>0.15563392142436872</v>
      </c>
      <c r="R423" s="16" t="str">
        <f t="shared" si="146"/>
        <v>AOP</v>
      </c>
      <c r="S423" s="17">
        <f t="shared" si="140"/>
        <v>199.66587047375111</v>
      </c>
      <c r="T423" s="18" t="e">
        <f t="shared" si="147"/>
        <v>#DIV/0!</v>
      </c>
      <c r="U423" s="23" t="e">
        <f t="shared" si="136"/>
        <v>#DIV/0!</v>
      </c>
      <c r="Y423" s="8" t="str">
        <f t="shared" si="148"/>
        <v>PAUH68620PC1.5</v>
      </c>
      <c r="Z423" s="8" t="str">
        <f>IF(Y423='Input - Bookings'!Q656,"OK","Check")</f>
        <v>Check</v>
      </c>
      <c r="AA423" s="139"/>
      <c r="AB423" s="103"/>
      <c r="AC423" s="103"/>
      <c r="AD423" s="100">
        <f t="shared" si="150"/>
        <v>641.02582576834698</v>
      </c>
      <c r="AE423" s="100"/>
      <c r="AF423" s="8" t="str">
        <f t="array" ref="AF423">_xlfn.XLOOKUP($G423,'AP Plants'!D:D,'AP Plants'!B:B)</f>
        <v>Class 3</v>
      </c>
      <c r="AG423" s="102">
        <f>AD423*'Currency &amp; Conversion'!$L$6</f>
        <v>954.61565973422239</v>
      </c>
      <c r="AH423" s="102"/>
      <c r="AI423" s="44">
        <v>1.4999999999999999E-2</v>
      </c>
      <c r="AJ423" s="15">
        <f>_xlfn.XLOOKUP($AF423,Warranty!B:B,Warranty!E:E)</f>
        <v>1.4999999999999999E-2</v>
      </c>
      <c r="AK423" s="8">
        <f>IF($I423="AUD",VLOOKUP(RIGHT('Wk - Margins'!$G423,3),'AU Freight'!C:G,5,0),0)</f>
        <v>100</v>
      </c>
      <c r="AL423" s="15">
        <f t="shared" si="137"/>
        <v>0</v>
      </c>
      <c r="AM423" s="61">
        <f t="shared" si="149"/>
        <v>1083.254129526249</v>
      </c>
      <c r="AN423" s="63">
        <f t="shared" si="138"/>
        <v>0.15563392142436872</v>
      </c>
      <c r="AQ423" s="147"/>
    </row>
    <row r="424" spans="1:43">
      <c r="A424" s="10" t="str">
        <f>'Input - Bookings'!A424</f>
        <v>10-27</v>
      </c>
      <c r="B424" s="11" t="str">
        <f>'Input - Bookings'!C424</f>
        <v>P</v>
      </c>
      <c r="C424" s="11" t="str">
        <f>'Input - Bookings'!H424</f>
        <v>AU</v>
      </c>
      <c r="D424" s="24" t="str">
        <f>'Input - Bookings'!E424</f>
        <v>065</v>
      </c>
      <c r="E424" s="24" t="str">
        <f>'Input - Bookings'!G424</f>
        <v>ADAPT-A-LIFT GROUP (NSW)</v>
      </c>
      <c r="F424" s="146" t="str">
        <f>'Input - Bookings'!I424</f>
        <v>H68621</v>
      </c>
      <c r="G424" s="24" t="str">
        <f>'Input - Bookings'!L424</f>
        <v>A6W9</v>
      </c>
      <c r="H424" s="24" t="str">
        <f>'Input - Bookings'!M424</f>
        <v>PC1.5</v>
      </c>
      <c r="I424" s="24" t="str">
        <f>'Input - Bookings'!B424</f>
        <v>AUD</v>
      </c>
      <c r="J424" s="13" t="str">
        <f>IF(I424="USD",INDEX('AP Plants'!A:A,MATCH(G424,'AP Plants'!D:D,0)),INDEX('Australia Plants'!A:A,MATCH(G424,'Australia Plants'!D:D,0)))</f>
        <v>Staxx</v>
      </c>
      <c r="K424" s="73">
        <v>1</v>
      </c>
      <c r="L424" s="97">
        <v>2140</v>
      </c>
      <c r="M424" s="97">
        <v>1282.92</v>
      </c>
      <c r="N424" s="99">
        <v>0.15563392142436872</v>
      </c>
      <c r="O424" s="25">
        <f t="shared" si="144"/>
        <v>0.40050467289719627</v>
      </c>
      <c r="P424" s="14">
        <f>IFERROR(IF(OR(B424&amp;C424="PAU",B424&amp;C424="AIN"),VLOOKUP(B424&amp;C424&amp;G424,#REF!,8,0),VLOOKUP(B424&amp;G424,#REF!,8,0)),0)</f>
        <v>0</v>
      </c>
      <c r="Q424" s="15">
        <f t="shared" si="145"/>
        <v>0.15563392142436872</v>
      </c>
      <c r="R424" s="16" t="str">
        <f t="shared" si="146"/>
        <v>AOP</v>
      </c>
      <c r="S424" s="17">
        <f t="shared" si="140"/>
        <v>199.66587047375111</v>
      </c>
      <c r="T424" s="18" t="e">
        <f t="shared" si="147"/>
        <v>#DIV/0!</v>
      </c>
      <c r="U424" s="23" t="e">
        <f t="shared" si="136"/>
        <v>#DIV/0!</v>
      </c>
      <c r="Y424" s="8" t="str">
        <f t="shared" si="148"/>
        <v>PAUH68621PC1.5</v>
      </c>
      <c r="Z424" s="8" t="str">
        <f>IF(Y424='Input - Bookings'!Q657,"OK","Check")</f>
        <v>Check</v>
      </c>
      <c r="AA424" s="139"/>
      <c r="AB424" s="103"/>
      <c r="AC424" s="103"/>
      <c r="AD424" s="100">
        <f t="shared" si="150"/>
        <v>641.02582576834698</v>
      </c>
      <c r="AE424" s="100"/>
      <c r="AF424" s="8" t="str">
        <f t="array" ref="AF424">_xlfn.XLOOKUP($G424,'AP Plants'!D:D,'AP Plants'!B:B)</f>
        <v>Class 3</v>
      </c>
      <c r="AG424" s="102">
        <f>AD424*'Currency &amp; Conversion'!$L$6</f>
        <v>954.61565973422239</v>
      </c>
      <c r="AH424" s="102"/>
      <c r="AI424" s="44">
        <v>1.4999999999999999E-2</v>
      </c>
      <c r="AJ424" s="15">
        <f>_xlfn.XLOOKUP($AF424,Warranty!B:B,Warranty!E:E)</f>
        <v>1.4999999999999999E-2</v>
      </c>
      <c r="AK424" s="8">
        <f>IF($I424="AUD",VLOOKUP(RIGHT('Wk - Margins'!$G424,3),'AU Freight'!C:G,5,0),0)</f>
        <v>100</v>
      </c>
      <c r="AL424" s="15">
        <f t="shared" si="137"/>
        <v>0</v>
      </c>
      <c r="AM424" s="61">
        <f t="shared" si="149"/>
        <v>1083.254129526249</v>
      </c>
      <c r="AN424" s="63">
        <f t="shared" si="138"/>
        <v>0.15563392142436872</v>
      </c>
      <c r="AQ424" s="147"/>
    </row>
    <row r="425" spans="1:43">
      <c r="A425" s="10" t="str">
        <f>'Input - Bookings'!A425</f>
        <v>10-27</v>
      </c>
      <c r="B425" s="11" t="str">
        <f>'Input - Bookings'!C425</f>
        <v>P</v>
      </c>
      <c r="C425" s="11" t="str">
        <f>'Input - Bookings'!H425</f>
        <v>AU</v>
      </c>
      <c r="D425" s="24" t="str">
        <f>'Input - Bookings'!E425</f>
        <v>065</v>
      </c>
      <c r="E425" s="24" t="str">
        <f>'Input - Bookings'!G425</f>
        <v>ADAPT-A-LIFT GROUP (NSW)</v>
      </c>
      <c r="F425" s="146" t="str">
        <f>'Input - Bookings'!I425</f>
        <v>H68622</v>
      </c>
      <c r="G425" s="24" t="str">
        <f>'Input - Bookings'!L425</f>
        <v>A6W9</v>
      </c>
      <c r="H425" s="24" t="str">
        <f>'Input - Bookings'!M425</f>
        <v>PC1.5</v>
      </c>
      <c r="I425" s="24" t="str">
        <f>'Input - Bookings'!B425</f>
        <v>AUD</v>
      </c>
      <c r="J425" s="13" t="str">
        <f>IF(I425="USD",INDEX('AP Plants'!A:A,MATCH(G425,'AP Plants'!D:D,0)),INDEX('Australia Plants'!A:A,MATCH(G425,'Australia Plants'!D:D,0)))</f>
        <v>Staxx</v>
      </c>
      <c r="K425" s="73">
        <v>1</v>
      </c>
      <c r="L425" s="97">
        <v>2140</v>
      </c>
      <c r="M425" s="97">
        <v>1282.92</v>
      </c>
      <c r="N425" s="99">
        <v>0.15563392142436872</v>
      </c>
      <c r="O425" s="25">
        <f t="shared" si="144"/>
        <v>0.40050467289719627</v>
      </c>
      <c r="P425" s="14">
        <f>IFERROR(IF(OR(B425&amp;C425="PAU",B425&amp;C425="AIN"),VLOOKUP(B425&amp;C425&amp;G425,#REF!,8,0),VLOOKUP(B425&amp;G425,#REF!,8,0)),0)</f>
        <v>0</v>
      </c>
      <c r="Q425" s="15">
        <f t="shared" si="145"/>
        <v>0.15563392142436872</v>
      </c>
      <c r="R425" s="16" t="str">
        <f t="shared" si="146"/>
        <v>AOP</v>
      </c>
      <c r="S425" s="17">
        <f t="shared" si="140"/>
        <v>199.66587047375111</v>
      </c>
      <c r="T425" s="18" t="e">
        <f t="shared" si="147"/>
        <v>#DIV/0!</v>
      </c>
      <c r="U425" s="23" t="e">
        <f t="shared" si="136"/>
        <v>#DIV/0!</v>
      </c>
      <c r="Y425" s="8" t="str">
        <f t="shared" si="148"/>
        <v>PAUH68622PC1.5</v>
      </c>
      <c r="Z425" s="8" t="str">
        <f>IF(Y425='Input - Bookings'!Q658,"OK","Check")</f>
        <v>Check</v>
      </c>
      <c r="AA425" s="139"/>
      <c r="AB425" s="103"/>
      <c r="AC425" s="103"/>
      <c r="AD425" s="100">
        <f t="shared" si="150"/>
        <v>641.02582576834698</v>
      </c>
      <c r="AE425" s="98"/>
      <c r="AF425" s="8" t="str">
        <f t="array" ref="AF425">_xlfn.XLOOKUP($G425,'AP Plants'!D:D,'AP Plants'!B:B)</f>
        <v>Class 3</v>
      </c>
      <c r="AG425" s="102">
        <f>AD425*'Currency &amp; Conversion'!$L$6</f>
        <v>954.61565973422239</v>
      </c>
      <c r="AH425" s="102"/>
      <c r="AI425" s="44">
        <v>1.4999999999999999E-2</v>
      </c>
      <c r="AJ425" s="15">
        <f>_xlfn.XLOOKUP($AF425,Warranty!B:B,Warranty!E:E)</f>
        <v>1.4999999999999999E-2</v>
      </c>
      <c r="AK425" s="8">
        <f>IF($I425="AUD",VLOOKUP(RIGHT('Wk - Margins'!$G425,3),'AU Freight'!C:G,5,0),0)</f>
        <v>100</v>
      </c>
      <c r="AL425" s="15">
        <f t="shared" si="137"/>
        <v>0</v>
      </c>
      <c r="AM425" s="61">
        <f t="shared" si="149"/>
        <v>1083.254129526249</v>
      </c>
      <c r="AN425" s="63">
        <f t="shared" si="138"/>
        <v>0.15563392142436872</v>
      </c>
      <c r="AQ425" s="147"/>
    </row>
    <row r="426" spans="1:43">
      <c r="A426" s="10" t="str">
        <f>'Input - Bookings'!A426</f>
        <v>10-27</v>
      </c>
      <c r="B426" s="11" t="str">
        <f>'Input - Bookings'!C426</f>
        <v>P</v>
      </c>
      <c r="C426" s="11" t="str">
        <f>'Input - Bookings'!H426</f>
        <v>AU</v>
      </c>
      <c r="D426" s="24" t="str">
        <f>'Input - Bookings'!E426</f>
        <v>065</v>
      </c>
      <c r="E426" s="24" t="str">
        <f>'Input - Bookings'!G426</f>
        <v>ADAPT-A-LIFT GROUP (NSW)</v>
      </c>
      <c r="F426" s="146" t="str">
        <f>'Input - Bookings'!I426</f>
        <v>H68623</v>
      </c>
      <c r="G426" s="24" t="str">
        <f>'Input - Bookings'!L426</f>
        <v>A6W9</v>
      </c>
      <c r="H426" s="24" t="str">
        <f>'Input - Bookings'!M426</f>
        <v>PC1.5</v>
      </c>
      <c r="I426" s="24" t="str">
        <f>'Input - Bookings'!B426</f>
        <v>AUD</v>
      </c>
      <c r="J426" s="13" t="str">
        <f>IF(I426="USD",INDEX('AP Plants'!A:A,MATCH(G426,'AP Plants'!D:D,0)),INDEX('Australia Plants'!A:A,MATCH(G426,'Australia Plants'!D:D,0)))</f>
        <v>Staxx</v>
      </c>
      <c r="K426" s="73">
        <v>1</v>
      </c>
      <c r="L426" s="97">
        <v>2140</v>
      </c>
      <c r="M426" s="97">
        <v>1282.92</v>
      </c>
      <c r="N426" s="99">
        <v>0.15563392142436872</v>
      </c>
      <c r="O426" s="25">
        <f t="shared" si="144"/>
        <v>0.40050467289719627</v>
      </c>
      <c r="P426" s="14">
        <f>IFERROR(IF(OR(B426&amp;C426="PAU",B426&amp;C426="AIN"),VLOOKUP(B426&amp;C426&amp;G426,#REF!,8,0),VLOOKUP(B426&amp;G426,#REF!,8,0)),0)</f>
        <v>0</v>
      </c>
      <c r="Q426" s="15">
        <f t="shared" si="145"/>
        <v>0.15563392142436872</v>
      </c>
      <c r="R426" s="16" t="str">
        <f t="shared" si="146"/>
        <v>AOP</v>
      </c>
      <c r="S426" s="17">
        <f t="shared" si="140"/>
        <v>199.66587047375111</v>
      </c>
      <c r="T426" s="18" t="e">
        <f t="shared" si="147"/>
        <v>#DIV/0!</v>
      </c>
      <c r="U426" s="23" t="e">
        <f t="shared" si="136"/>
        <v>#DIV/0!</v>
      </c>
      <c r="Y426" s="8" t="str">
        <f t="shared" si="148"/>
        <v>PAUH68623PC1.5</v>
      </c>
      <c r="Z426" s="8" t="str">
        <f>IF(Y426='Input - Bookings'!Q659,"OK","Check")</f>
        <v>Check</v>
      </c>
      <c r="AA426" s="139"/>
      <c r="AB426" s="103"/>
      <c r="AC426" s="103"/>
      <c r="AD426" s="100">
        <f t="shared" si="150"/>
        <v>641.02582576834698</v>
      </c>
      <c r="AE426" s="110"/>
      <c r="AF426" s="8" t="str">
        <f t="array" ref="AF426">_xlfn.XLOOKUP($G426,'AP Plants'!D:D,'AP Plants'!B:B)</f>
        <v>Class 3</v>
      </c>
      <c r="AG426" s="102">
        <f>AD426*'Currency &amp; Conversion'!$L$6</f>
        <v>954.61565973422239</v>
      </c>
      <c r="AH426" s="102"/>
      <c r="AI426" s="44">
        <v>1.4999999999999999E-2</v>
      </c>
      <c r="AJ426" s="15">
        <f>_xlfn.XLOOKUP($AF426,Warranty!B:B,Warranty!E:E)</f>
        <v>1.4999999999999999E-2</v>
      </c>
      <c r="AK426" s="8">
        <f>IF($I426="AUD",VLOOKUP(RIGHT('Wk - Margins'!$G426,3),'AU Freight'!C:G,5,0),0)</f>
        <v>100</v>
      </c>
      <c r="AL426" s="15">
        <f t="shared" si="137"/>
        <v>0</v>
      </c>
      <c r="AM426" s="61">
        <f t="shared" si="149"/>
        <v>1083.254129526249</v>
      </c>
      <c r="AN426" s="63">
        <f t="shared" si="138"/>
        <v>0.15563392142436872</v>
      </c>
      <c r="AQ426" s="147"/>
    </row>
    <row r="427" spans="1:43">
      <c r="A427" s="10" t="str">
        <f>'Input - Bookings'!A427</f>
        <v>10-27</v>
      </c>
      <c r="B427" s="11" t="str">
        <f>'Input - Bookings'!C427</f>
        <v>P</v>
      </c>
      <c r="C427" s="11" t="str">
        <f>'Input - Bookings'!H427</f>
        <v>AU</v>
      </c>
      <c r="D427" s="24" t="str">
        <f>'Input - Bookings'!E427</f>
        <v>065</v>
      </c>
      <c r="E427" s="24" t="str">
        <f>'Input - Bookings'!G427</f>
        <v>ADAPT-A-LIFT GROUP (NSW)</v>
      </c>
      <c r="F427" s="146" t="str">
        <f>'Input - Bookings'!I427</f>
        <v>H68624</v>
      </c>
      <c r="G427" s="24" t="str">
        <f>'Input - Bookings'!L427</f>
        <v>A6W9</v>
      </c>
      <c r="H427" s="24" t="str">
        <f>'Input - Bookings'!M427</f>
        <v>PC1.5</v>
      </c>
      <c r="I427" s="24" t="str">
        <f>'Input - Bookings'!B427</f>
        <v>AUD</v>
      </c>
      <c r="J427" s="13" t="str">
        <f>IF(I427="USD",INDEX('AP Plants'!A:A,MATCH(G427,'AP Plants'!D:D,0)),INDEX('Australia Plants'!A:A,MATCH(G427,'Australia Plants'!D:D,0)))</f>
        <v>Staxx</v>
      </c>
      <c r="K427" s="73">
        <v>1</v>
      </c>
      <c r="L427" s="97">
        <v>2140</v>
      </c>
      <c r="M427" s="97">
        <v>1282.92</v>
      </c>
      <c r="N427" s="99">
        <v>0.15563392142436872</v>
      </c>
      <c r="O427" s="25">
        <f t="shared" si="144"/>
        <v>0.40050467289719627</v>
      </c>
      <c r="P427" s="14">
        <f>IFERROR(IF(OR(B427&amp;C427="PAU",B427&amp;C427="AIN"),VLOOKUP(B427&amp;C427&amp;G427,#REF!,8,0),VLOOKUP(B427&amp;G427,#REF!,8,0)),0)</f>
        <v>0</v>
      </c>
      <c r="Q427" s="15">
        <f t="shared" si="145"/>
        <v>0.15563392142436872</v>
      </c>
      <c r="R427" s="16" t="str">
        <f t="shared" si="146"/>
        <v>AOP</v>
      </c>
      <c r="S427" s="17">
        <f t="shared" si="140"/>
        <v>199.66587047375111</v>
      </c>
      <c r="T427" s="18" t="e">
        <f t="shared" si="147"/>
        <v>#DIV/0!</v>
      </c>
      <c r="U427" s="23" t="e">
        <f t="shared" si="136"/>
        <v>#DIV/0!</v>
      </c>
      <c r="Y427" s="8" t="str">
        <f t="shared" si="148"/>
        <v>PAUH68624PC1.5</v>
      </c>
      <c r="Z427" s="8" t="str">
        <f>IF(Y427='Input - Bookings'!Q660,"OK","Check")</f>
        <v>Check</v>
      </c>
      <c r="AA427" s="118"/>
      <c r="AB427" s="103"/>
      <c r="AC427" s="103"/>
      <c r="AD427" s="100">
        <f t="shared" si="150"/>
        <v>641.02582576834698</v>
      </c>
      <c r="AE427" s="100"/>
      <c r="AF427" s="8" t="str">
        <f t="array" ref="AF427">_xlfn.XLOOKUP($G427,'AP Plants'!D:D,'AP Plants'!B:B)</f>
        <v>Class 3</v>
      </c>
      <c r="AG427" s="102">
        <f>AD427*'Currency &amp; Conversion'!$L$6</f>
        <v>954.61565973422239</v>
      </c>
      <c r="AH427" s="102"/>
      <c r="AI427" s="44">
        <v>1.4999999999999999E-2</v>
      </c>
      <c r="AJ427" s="15">
        <f>_xlfn.XLOOKUP($AF427,Warranty!B:B,Warranty!E:E)</f>
        <v>1.4999999999999999E-2</v>
      </c>
      <c r="AK427" s="8">
        <f>IF($I427="AUD",VLOOKUP(RIGHT('Wk - Margins'!$G427,3),'AU Freight'!C:G,5,0),0)</f>
        <v>100</v>
      </c>
      <c r="AL427" s="15">
        <f t="shared" si="137"/>
        <v>0</v>
      </c>
      <c r="AM427" s="61">
        <f t="shared" si="149"/>
        <v>1083.254129526249</v>
      </c>
      <c r="AN427" s="63">
        <f t="shared" si="138"/>
        <v>0.15563392142436872</v>
      </c>
      <c r="AQ427" s="147"/>
    </row>
    <row r="428" spans="1:43">
      <c r="A428" s="10" t="str">
        <f>'Input - Bookings'!A428</f>
        <v>10-27</v>
      </c>
      <c r="B428" s="11" t="str">
        <f>'Input - Bookings'!C428</f>
        <v>P</v>
      </c>
      <c r="C428" s="11" t="str">
        <f>'Input - Bookings'!H428</f>
        <v>AU</v>
      </c>
      <c r="D428" s="24" t="str">
        <f>'Input - Bookings'!E428</f>
        <v>065</v>
      </c>
      <c r="E428" s="24" t="str">
        <f>'Input - Bookings'!G428</f>
        <v>ADAPT-A-LIFT GROUP (NSW)</v>
      </c>
      <c r="F428" s="146" t="str">
        <f>'Input - Bookings'!I428</f>
        <v>H68625</v>
      </c>
      <c r="G428" s="24" t="str">
        <f>'Input - Bookings'!L428</f>
        <v>A6W9</v>
      </c>
      <c r="H428" s="24" t="str">
        <f>'Input - Bookings'!M428</f>
        <v>PC1.5</v>
      </c>
      <c r="I428" s="24" t="str">
        <f>'Input - Bookings'!B428</f>
        <v>AUD</v>
      </c>
      <c r="J428" s="13" t="str">
        <f>IF(I428="USD",INDEX('AP Plants'!A:A,MATCH(G428,'AP Plants'!D:D,0)),INDEX('Australia Plants'!A:A,MATCH(G428,'Australia Plants'!D:D,0)))</f>
        <v>Staxx</v>
      </c>
      <c r="K428" s="73">
        <v>1</v>
      </c>
      <c r="L428" s="97">
        <v>2140</v>
      </c>
      <c r="M428" s="97">
        <v>1282.92</v>
      </c>
      <c r="N428" s="99">
        <v>0.15563392142436872</v>
      </c>
      <c r="O428" s="25">
        <f t="shared" si="144"/>
        <v>0.40050467289719627</v>
      </c>
      <c r="P428" s="14">
        <f>IFERROR(IF(OR(B428&amp;C428="PAU",B428&amp;C428="AIN"),VLOOKUP(B428&amp;C428&amp;G428,#REF!,8,0),VLOOKUP(B428&amp;G428,#REF!,8,0)),0)</f>
        <v>0</v>
      </c>
      <c r="Q428" s="15">
        <f t="shared" si="145"/>
        <v>0.15563392142436872</v>
      </c>
      <c r="R428" s="16" t="str">
        <f t="shared" si="146"/>
        <v>AOP</v>
      </c>
      <c r="S428" s="17">
        <f t="shared" si="140"/>
        <v>199.66587047375111</v>
      </c>
      <c r="T428" s="18" t="e">
        <f t="shared" si="147"/>
        <v>#DIV/0!</v>
      </c>
      <c r="U428" s="23" t="e">
        <f t="shared" si="136"/>
        <v>#DIV/0!</v>
      </c>
      <c r="Y428" s="8" t="str">
        <f t="shared" si="148"/>
        <v>PAUH68625PC1.5</v>
      </c>
      <c r="Z428" s="8" t="str">
        <f>IF(Y428='Input - Bookings'!Q661,"OK","Check")</f>
        <v>Check</v>
      </c>
      <c r="AA428" s="118"/>
      <c r="AB428" s="103"/>
      <c r="AC428" s="103"/>
      <c r="AD428" s="100">
        <f t="shared" si="150"/>
        <v>641.02582576834698</v>
      </c>
      <c r="AE428" s="100"/>
      <c r="AF428" s="8" t="str">
        <f t="array" ref="AF428">_xlfn.XLOOKUP($G428,'AP Plants'!D:D,'AP Plants'!B:B)</f>
        <v>Class 3</v>
      </c>
      <c r="AG428" s="102">
        <f>AD428*'Currency &amp; Conversion'!$L$6</f>
        <v>954.61565973422239</v>
      </c>
      <c r="AH428" s="102"/>
      <c r="AI428" s="44">
        <v>1.4999999999999999E-2</v>
      </c>
      <c r="AJ428" s="15">
        <f>_xlfn.XLOOKUP($AF428,Warranty!B:B,Warranty!E:E)</f>
        <v>1.4999999999999999E-2</v>
      </c>
      <c r="AK428" s="8">
        <f>IF($I428="AUD",VLOOKUP(RIGHT('Wk - Margins'!$G428,3),'AU Freight'!C:G,5,0),0)</f>
        <v>100</v>
      </c>
      <c r="AL428" s="15">
        <f t="shared" si="137"/>
        <v>0</v>
      </c>
      <c r="AM428" s="61">
        <f t="shared" si="149"/>
        <v>1083.254129526249</v>
      </c>
      <c r="AN428" s="63">
        <f t="shared" si="138"/>
        <v>0.15563392142436872</v>
      </c>
      <c r="AQ428" s="147"/>
    </row>
    <row r="429" spans="1:43">
      <c r="A429" s="10" t="str">
        <f>'Input - Bookings'!A429</f>
        <v>10-27</v>
      </c>
      <c r="B429" s="11" t="str">
        <f>'Input - Bookings'!C429</f>
        <v>P</v>
      </c>
      <c r="C429" s="11" t="str">
        <f>'Input - Bookings'!H429</f>
        <v>AU</v>
      </c>
      <c r="D429" s="24" t="str">
        <f>'Input - Bookings'!E429</f>
        <v>065</v>
      </c>
      <c r="E429" s="24" t="str">
        <f>'Input - Bookings'!G429</f>
        <v>ADAPT-A-LIFT GROUP (NSW)</v>
      </c>
      <c r="F429" s="146" t="str">
        <f>'Input - Bookings'!I429</f>
        <v>H68626</v>
      </c>
      <c r="G429" s="24" t="str">
        <f>'Input - Bookings'!L429</f>
        <v>A6W9</v>
      </c>
      <c r="H429" s="24" t="str">
        <f>'Input - Bookings'!M429</f>
        <v>PC1.5</v>
      </c>
      <c r="I429" s="24" t="str">
        <f>'Input - Bookings'!B429</f>
        <v>AUD</v>
      </c>
      <c r="J429" s="13" t="str">
        <f>IF(I429="USD",INDEX('AP Plants'!A:A,MATCH(G429,'AP Plants'!D:D,0)),INDEX('Australia Plants'!A:A,MATCH(G429,'Australia Plants'!D:D,0)))</f>
        <v>Staxx</v>
      </c>
      <c r="K429" s="73">
        <v>1</v>
      </c>
      <c r="L429" s="97">
        <v>2140</v>
      </c>
      <c r="M429" s="97">
        <v>1282.92</v>
      </c>
      <c r="N429" s="99">
        <v>0.15563392142436872</v>
      </c>
      <c r="O429" s="25">
        <f t="shared" si="144"/>
        <v>0.40050467289719627</v>
      </c>
      <c r="P429" s="14">
        <f>IFERROR(IF(OR(B429&amp;C429="PAU",B429&amp;C429="AIN"),VLOOKUP(B429&amp;C429&amp;G429,#REF!,8,0),VLOOKUP(B429&amp;G429,#REF!,8,0)),0)</f>
        <v>0</v>
      </c>
      <c r="Q429" s="15">
        <f t="shared" si="145"/>
        <v>0.15563392142436872</v>
      </c>
      <c r="R429" s="16" t="str">
        <f t="shared" si="146"/>
        <v>AOP</v>
      </c>
      <c r="S429" s="17">
        <f t="shared" si="140"/>
        <v>199.66587047375111</v>
      </c>
      <c r="T429" s="18" t="e">
        <f t="shared" si="147"/>
        <v>#DIV/0!</v>
      </c>
      <c r="U429" s="23" t="e">
        <f t="shared" si="136"/>
        <v>#DIV/0!</v>
      </c>
      <c r="Y429" s="8" t="str">
        <f t="shared" si="148"/>
        <v>PAUH68626PC1.5</v>
      </c>
      <c r="Z429" s="8" t="str">
        <f>IF(Y429='Input - Bookings'!Q662,"OK","Check")</f>
        <v>Check</v>
      </c>
      <c r="AA429" s="139"/>
      <c r="AB429" s="103"/>
      <c r="AC429" s="103"/>
      <c r="AD429" s="100">
        <f t="shared" si="150"/>
        <v>641.02582576834698</v>
      </c>
      <c r="AE429" s="100"/>
      <c r="AF429" s="8" t="str">
        <f t="array" ref="AF429">_xlfn.XLOOKUP($G429,'AP Plants'!D:D,'AP Plants'!B:B)</f>
        <v>Class 3</v>
      </c>
      <c r="AG429" s="102">
        <f>AD429*'Currency &amp; Conversion'!$L$6</f>
        <v>954.61565973422239</v>
      </c>
      <c r="AH429" s="102"/>
      <c r="AI429" s="44">
        <v>1.4999999999999999E-2</v>
      </c>
      <c r="AJ429" s="15">
        <f>_xlfn.XLOOKUP($AF429,Warranty!B:B,Warranty!E:E)</f>
        <v>1.4999999999999999E-2</v>
      </c>
      <c r="AK429" s="8">
        <f>IF($I429="AUD",VLOOKUP(RIGHT('Wk - Margins'!$G429,3),'AU Freight'!C:G,5,0),0)</f>
        <v>100</v>
      </c>
      <c r="AL429" s="15">
        <f t="shared" si="137"/>
        <v>0</v>
      </c>
      <c r="AM429" s="61">
        <f t="shared" si="149"/>
        <v>1083.254129526249</v>
      </c>
      <c r="AN429" s="63">
        <f t="shared" si="138"/>
        <v>0.15563392142436872</v>
      </c>
      <c r="AQ429" s="147"/>
    </row>
    <row r="430" spans="1:43">
      <c r="A430" s="10" t="str">
        <f>'Input - Bookings'!A430</f>
        <v>10-27</v>
      </c>
      <c r="B430" s="11" t="str">
        <f>'Input - Bookings'!C430</f>
        <v>P</v>
      </c>
      <c r="C430" s="11" t="str">
        <f>'Input - Bookings'!H430</f>
        <v>AU</v>
      </c>
      <c r="D430" s="24" t="str">
        <f>'Input - Bookings'!E430</f>
        <v>065</v>
      </c>
      <c r="E430" s="24" t="str">
        <f>'Input - Bookings'!G430</f>
        <v>ADAPT-A-LIFT GROUP (NSW)</v>
      </c>
      <c r="F430" s="146" t="str">
        <f>'Input - Bookings'!I430</f>
        <v>H68627</v>
      </c>
      <c r="G430" s="24" t="str">
        <f>'Input - Bookings'!L430</f>
        <v>A6W9</v>
      </c>
      <c r="H430" s="24" t="str">
        <f>'Input - Bookings'!M430</f>
        <v>PC1.5</v>
      </c>
      <c r="I430" s="24" t="str">
        <f>'Input - Bookings'!B430</f>
        <v>AUD</v>
      </c>
      <c r="J430" s="13" t="str">
        <f>IF(I430="USD",INDEX('AP Plants'!A:A,MATCH(G430,'AP Plants'!D:D,0)),INDEX('Australia Plants'!A:A,MATCH(G430,'Australia Plants'!D:D,0)))</f>
        <v>Staxx</v>
      </c>
      <c r="K430" s="73">
        <v>1</v>
      </c>
      <c r="L430" s="97">
        <v>2140</v>
      </c>
      <c r="M430" s="97">
        <v>1282.92</v>
      </c>
      <c r="N430" s="99">
        <v>0.15563392142436872</v>
      </c>
      <c r="O430" s="25">
        <f t="shared" si="144"/>
        <v>0.40050467289719627</v>
      </c>
      <c r="P430" s="14">
        <f>IFERROR(IF(OR(B430&amp;C430="PAU",B430&amp;C430="AIN"),VLOOKUP(B430&amp;C430&amp;G430,#REF!,8,0),VLOOKUP(B430&amp;G430,#REF!,8,0)),0)</f>
        <v>0</v>
      </c>
      <c r="Q430" s="15">
        <f t="shared" si="145"/>
        <v>0.15563392142436872</v>
      </c>
      <c r="R430" s="16" t="str">
        <f t="shared" si="146"/>
        <v>AOP</v>
      </c>
      <c r="S430" s="17">
        <f t="shared" si="140"/>
        <v>199.66587047375111</v>
      </c>
      <c r="T430" s="18" t="e">
        <f t="shared" si="147"/>
        <v>#DIV/0!</v>
      </c>
      <c r="U430" s="23" t="e">
        <f t="shared" si="136"/>
        <v>#DIV/0!</v>
      </c>
      <c r="Y430" s="8" t="str">
        <f t="shared" si="148"/>
        <v>PAUH68627PC1.5</v>
      </c>
      <c r="Z430" s="8" t="str">
        <f>IF(Y430='Input - Bookings'!Q663,"OK","Check")</f>
        <v>Check</v>
      </c>
      <c r="AA430" s="139"/>
      <c r="AB430" s="103"/>
      <c r="AC430" s="103"/>
      <c r="AD430" s="100">
        <f t="shared" si="150"/>
        <v>641.02582576834698</v>
      </c>
      <c r="AE430" s="100"/>
      <c r="AF430" s="8" t="str">
        <f t="array" ref="AF430">_xlfn.XLOOKUP($G430,'AP Plants'!D:D,'AP Plants'!B:B)</f>
        <v>Class 3</v>
      </c>
      <c r="AG430" s="102">
        <f>AD430*'Currency &amp; Conversion'!$L$6</f>
        <v>954.61565973422239</v>
      </c>
      <c r="AH430" s="102"/>
      <c r="AI430" s="44">
        <v>1.4999999999999999E-2</v>
      </c>
      <c r="AJ430" s="15">
        <f>_xlfn.XLOOKUP($AF430,Warranty!B:B,Warranty!E:E)</f>
        <v>1.4999999999999999E-2</v>
      </c>
      <c r="AK430" s="8">
        <f>IF($I430="AUD",VLOOKUP(RIGHT('Wk - Margins'!$G430,3),'AU Freight'!C:G,5,0),0)</f>
        <v>100</v>
      </c>
      <c r="AL430" s="15">
        <f t="shared" si="137"/>
        <v>0</v>
      </c>
      <c r="AM430" s="61">
        <f t="shared" si="149"/>
        <v>1083.254129526249</v>
      </c>
      <c r="AN430" s="63">
        <f t="shared" si="138"/>
        <v>0.15563392142436872</v>
      </c>
      <c r="AQ430" s="147"/>
    </row>
    <row r="431" spans="1:43">
      <c r="A431" s="10" t="str">
        <f>'Input - Bookings'!A431</f>
        <v>10-27</v>
      </c>
      <c r="B431" s="11" t="str">
        <f>'Input - Bookings'!C431</f>
        <v>P</v>
      </c>
      <c r="C431" s="11" t="str">
        <f>'Input - Bookings'!H431</f>
        <v>AU</v>
      </c>
      <c r="D431" s="24" t="str">
        <f>'Input - Bookings'!E431</f>
        <v>065</v>
      </c>
      <c r="E431" s="24" t="str">
        <f>'Input - Bookings'!G431</f>
        <v>ADAPT-A-LIFT GROUP (NSW)</v>
      </c>
      <c r="F431" s="146" t="str">
        <f>'Input - Bookings'!I431</f>
        <v>H68628</v>
      </c>
      <c r="G431" s="24" t="str">
        <f>'Input - Bookings'!L431</f>
        <v>A6W9</v>
      </c>
      <c r="H431" s="24" t="str">
        <f>'Input - Bookings'!M431</f>
        <v>PC1.5</v>
      </c>
      <c r="I431" s="24" t="str">
        <f>'Input - Bookings'!B431</f>
        <v>AUD</v>
      </c>
      <c r="J431" s="13" t="str">
        <f>IF(I431="USD",INDEX('AP Plants'!A:A,MATCH(G431,'AP Plants'!D:D,0)),INDEX('Australia Plants'!A:A,MATCH(G431,'Australia Plants'!D:D,0)))</f>
        <v>Staxx</v>
      </c>
      <c r="K431" s="73">
        <v>1</v>
      </c>
      <c r="L431" s="97">
        <v>2140</v>
      </c>
      <c r="M431" s="97">
        <v>1282.92</v>
      </c>
      <c r="N431" s="99">
        <v>0.15563392142436872</v>
      </c>
      <c r="O431" s="25">
        <f t="shared" si="144"/>
        <v>0.40050467289719627</v>
      </c>
      <c r="P431" s="14">
        <f>IFERROR(IF(OR(B431&amp;C431="PAU",B431&amp;C431="AIN"),VLOOKUP(B431&amp;C431&amp;G431,#REF!,8,0),VLOOKUP(B431&amp;G431,#REF!,8,0)),0)</f>
        <v>0</v>
      </c>
      <c r="Q431" s="15">
        <f t="shared" si="145"/>
        <v>0.15563392142436872</v>
      </c>
      <c r="R431" s="16" t="str">
        <f t="shared" si="146"/>
        <v>AOP</v>
      </c>
      <c r="S431" s="17">
        <f t="shared" si="140"/>
        <v>199.66587047375111</v>
      </c>
      <c r="T431" s="18" t="e">
        <f t="shared" si="147"/>
        <v>#DIV/0!</v>
      </c>
      <c r="U431" s="23" t="e">
        <f t="shared" si="136"/>
        <v>#DIV/0!</v>
      </c>
      <c r="Y431" s="8" t="str">
        <f t="shared" si="148"/>
        <v>PAUH68628PC1.5</v>
      </c>
      <c r="Z431" s="8" t="str">
        <f>IF(Y431='Input - Bookings'!Q664,"OK","Check")</f>
        <v>Check</v>
      </c>
      <c r="AA431" s="139"/>
      <c r="AB431" s="103"/>
      <c r="AC431" s="103"/>
      <c r="AD431" s="100">
        <f t="shared" si="150"/>
        <v>641.02582576834698</v>
      </c>
      <c r="AE431" s="100"/>
      <c r="AF431" s="8" t="str">
        <f t="array" ref="AF431">_xlfn.XLOOKUP($G431,'AP Plants'!D:D,'AP Plants'!B:B)</f>
        <v>Class 3</v>
      </c>
      <c r="AG431" s="102">
        <f>AD431*'Currency &amp; Conversion'!$L$6</f>
        <v>954.61565973422239</v>
      </c>
      <c r="AH431" s="102"/>
      <c r="AI431" s="44">
        <v>1.4999999999999999E-2</v>
      </c>
      <c r="AJ431" s="15">
        <f>_xlfn.XLOOKUP($AF431,Warranty!B:B,Warranty!E:E)</f>
        <v>1.4999999999999999E-2</v>
      </c>
      <c r="AK431" s="8">
        <f>IF($I431="AUD",VLOOKUP(RIGHT('Wk - Margins'!$G431,3),'AU Freight'!C:G,5,0),0)</f>
        <v>100</v>
      </c>
      <c r="AL431" s="15">
        <f t="shared" si="137"/>
        <v>0</v>
      </c>
      <c r="AM431" s="61">
        <f t="shared" si="149"/>
        <v>1083.254129526249</v>
      </c>
      <c r="AN431" s="63">
        <f t="shared" si="138"/>
        <v>0.15563392142436872</v>
      </c>
      <c r="AQ431" s="147"/>
    </row>
    <row r="432" spans="1:43">
      <c r="A432" s="10" t="str">
        <f>'Input - Bookings'!A432</f>
        <v>10-27</v>
      </c>
      <c r="B432" s="11" t="str">
        <f>'Input - Bookings'!C432</f>
        <v>P</v>
      </c>
      <c r="C432" s="11" t="str">
        <f>'Input - Bookings'!H432</f>
        <v>AU</v>
      </c>
      <c r="D432" s="24" t="str">
        <f>'Input - Bookings'!E432</f>
        <v>065</v>
      </c>
      <c r="E432" s="24" t="str">
        <f>'Input - Bookings'!G432</f>
        <v>ADAPT-A-LIFT GROUP (NSW)</v>
      </c>
      <c r="F432" s="146" t="str">
        <f>'Input - Bookings'!I432</f>
        <v>H68629</v>
      </c>
      <c r="G432" s="24" t="str">
        <f>'Input - Bookings'!L432</f>
        <v>A6W9</v>
      </c>
      <c r="H432" s="24" t="str">
        <f>'Input - Bookings'!M432</f>
        <v>PC1.5</v>
      </c>
      <c r="I432" s="24" t="str">
        <f>'Input - Bookings'!B432</f>
        <v>AUD</v>
      </c>
      <c r="J432" s="13" t="str">
        <f>IF(I432="USD",INDEX('AP Plants'!A:A,MATCH(G432,'AP Plants'!D:D,0)),INDEX('Australia Plants'!A:A,MATCH(G432,'Australia Plants'!D:D,0)))</f>
        <v>Staxx</v>
      </c>
      <c r="K432" s="73">
        <v>1</v>
      </c>
      <c r="L432" s="97">
        <v>2140</v>
      </c>
      <c r="M432" s="97">
        <v>1282.92</v>
      </c>
      <c r="N432" s="99">
        <v>0.15563392142436872</v>
      </c>
      <c r="O432" s="25">
        <f t="shared" si="144"/>
        <v>0.40050467289719627</v>
      </c>
      <c r="P432" s="14">
        <f>IFERROR(IF(OR(B432&amp;C432="PAU",B432&amp;C432="AIN"),VLOOKUP(B432&amp;C432&amp;G432,#REF!,8,0),VLOOKUP(B432&amp;G432,#REF!,8,0)),0)</f>
        <v>0</v>
      </c>
      <c r="Q432" s="15">
        <f t="shared" si="145"/>
        <v>0.15563392142436872</v>
      </c>
      <c r="R432" s="16" t="str">
        <f t="shared" si="146"/>
        <v>AOP</v>
      </c>
      <c r="S432" s="17">
        <f t="shared" si="140"/>
        <v>199.66587047375111</v>
      </c>
      <c r="T432" s="18" t="e">
        <f t="shared" si="147"/>
        <v>#DIV/0!</v>
      </c>
      <c r="U432" s="23" t="e">
        <f t="shared" si="136"/>
        <v>#DIV/0!</v>
      </c>
      <c r="Y432" s="8" t="str">
        <f t="shared" si="148"/>
        <v>PAUH68629PC1.5</v>
      </c>
      <c r="Z432" s="8" t="str">
        <f>IF(Y432='Input - Bookings'!Q665,"OK","Check")</f>
        <v>Check</v>
      </c>
      <c r="AA432" s="139"/>
      <c r="AB432" s="103"/>
      <c r="AC432" s="103"/>
      <c r="AD432" s="100">
        <f t="shared" si="150"/>
        <v>641.02582576834698</v>
      </c>
      <c r="AE432" s="100"/>
      <c r="AF432" s="8" t="str">
        <f t="array" ref="AF432">_xlfn.XLOOKUP($G432,'AP Plants'!D:D,'AP Plants'!B:B)</f>
        <v>Class 3</v>
      </c>
      <c r="AG432" s="102">
        <f>AD432*'Currency &amp; Conversion'!$L$6</f>
        <v>954.61565973422239</v>
      </c>
      <c r="AH432" s="102"/>
      <c r="AI432" s="44">
        <v>1.4999999999999999E-2</v>
      </c>
      <c r="AJ432" s="15">
        <f>_xlfn.XLOOKUP($AF432,Warranty!B:B,Warranty!E:E)</f>
        <v>1.4999999999999999E-2</v>
      </c>
      <c r="AK432" s="8">
        <f>IF($I432="AUD",VLOOKUP(RIGHT('Wk - Margins'!$G432,3),'AU Freight'!C:G,5,0),0)</f>
        <v>100</v>
      </c>
      <c r="AL432" s="15">
        <f t="shared" si="137"/>
        <v>0</v>
      </c>
      <c r="AM432" s="61">
        <f t="shared" si="149"/>
        <v>1083.254129526249</v>
      </c>
      <c r="AN432" s="63">
        <f t="shared" si="138"/>
        <v>0.15563392142436872</v>
      </c>
      <c r="AQ432" s="147"/>
    </row>
    <row r="433" spans="1:43">
      <c r="A433" s="10" t="str">
        <f>'Input - Bookings'!A433</f>
        <v>10-27</v>
      </c>
      <c r="B433" s="11" t="str">
        <f>'Input - Bookings'!C433</f>
        <v>P</v>
      </c>
      <c r="C433" s="11" t="str">
        <f>'Input - Bookings'!H433</f>
        <v>AU</v>
      </c>
      <c r="D433" s="24" t="str">
        <f>'Input - Bookings'!E433</f>
        <v>065</v>
      </c>
      <c r="E433" s="24" t="str">
        <f>'Input - Bookings'!G433</f>
        <v>ADAPT-A-LIFT GROUP (NSW)</v>
      </c>
      <c r="F433" s="146" t="str">
        <f>'Input - Bookings'!I433</f>
        <v>H68630</v>
      </c>
      <c r="G433" s="24" t="str">
        <f>'Input - Bookings'!L433</f>
        <v>A6W9</v>
      </c>
      <c r="H433" s="24" t="str">
        <f>'Input - Bookings'!M433</f>
        <v>PC1.5</v>
      </c>
      <c r="I433" s="24" t="str">
        <f>'Input - Bookings'!B433</f>
        <v>AUD</v>
      </c>
      <c r="J433" s="13" t="str">
        <f>IF(I433="USD",INDEX('AP Plants'!A:A,MATCH(G433,'AP Plants'!D:D,0)),INDEX('Australia Plants'!A:A,MATCH(G433,'Australia Plants'!D:D,0)))</f>
        <v>Staxx</v>
      </c>
      <c r="K433" s="73">
        <v>1</v>
      </c>
      <c r="L433" s="97">
        <v>2140</v>
      </c>
      <c r="M433" s="97">
        <v>1282.92</v>
      </c>
      <c r="N433" s="99">
        <v>0.15563392142436872</v>
      </c>
      <c r="O433" s="25">
        <f t="shared" si="144"/>
        <v>0.40050467289719627</v>
      </c>
      <c r="P433" s="14">
        <f>IFERROR(IF(OR(B433&amp;C433="PAU",B433&amp;C433="AIN"),VLOOKUP(B433&amp;C433&amp;G433,#REF!,8,0),VLOOKUP(B433&amp;G433,#REF!,8,0)),0)</f>
        <v>0</v>
      </c>
      <c r="Q433" s="15">
        <f t="shared" si="145"/>
        <v>0.15563392142436872</v>
      </c>
      <c r="R433" s="16" t="str">
        <f t="shared" si="146"/>
        <v>AOP</v>
      </c>
      <c r="S433" s="17">
        <f t="shared" si="140"/>
        <v>199.66587047375111</v>
      </c>
      <c r="T433" s="18" t="e">
        <f t="shared" si="147"/>
        <v>#DIV/0!</v>
      </c>
      <c r="U433" s="23" t="e">
        <f t="shared" si="136"/>
        <v>#DIV/0!</v>
      </c>
      <c r="Y433" s="8" t="str">
        <f t="shared" si="148"/>
        <v>PAUH68630PC1.5</v>
      </c>
      <c r="Z433" s="8" t="str">
        <f>IF(Y433='Input - Bookings'!Q666,"OK","Check")</f>
        <v>Check</v>
      </c>
      <c r="AA433" s="139"/>
      <c r="AB433" s="103"/>
      <c r="AC433" s="103"/>
      <c r="AD433" s="100">
        <f t="shared" si="150"/>
        <v>641.02582576834698</v>
      </c>
      <c r="AE433" s="100"/>
      <c r="AF433" s="8" t="str">
        <f t="array" ref="AF433">_xlfn.XLOOKUP($G433,'AP Plants'!D:D,'AP Plants'!B:B)</f>
        <v>Class 3</v>
      </c>
      <c r="AG433" s="102">
        <f>AD433*'Currency &amp; Conversion'!$L$6</f>
        <v>954.61565973422239</v>
      </c>
      <c r="AH433" s="102"/>
      <c r="AI433" s="44">
        <v>1.4999999999999999E-2</v>
      </c>
      <c r="AJ433" s="15">
        <f>_xlfn.XLOOKUP($AF433,Warranty!B:B,Warranty!E:E)</f>
        <v>1.4999999999999999E-2</v>
      </c>
      <c r="AK433" s="8">
        <f>IF($I433="AUD",VLOOKUP(RIGHT('Wk - Margins'!$G433,3),'AU Freight'!C:G,5,0),0)</f>
        <v>100</v>
      </c>
      <c r="AL433" s="15">
        <f t="shared" si="137"/>
        <v>0</v>
      </c>
      <c r="AM433" s="61">
        <f t="shared" si="149"/>
        <v>1083.254129526249</v>
      </c>
      <c r="AN433" s="63">
        <f t="shared" si="138"/>
        <v>0.15563392142436872</v>
      </c>
      <c r="AQ433" s="147"/>
    </row>
    <row r="434" spans="1:43">
      <c r="A434" s="10" t="str">
        <f>'Input - Bookings'!A434</f>
        <v>10-27</v>
      </c>
      <c r="B434" s="11" t="str">
        <f>'Input - Bookings'!C434</f>
        <v>P</v>
      </c>
      <c r="C434" s="11" t="str">
        <f>'Input - Bookings'!H434</f>
        <v>AU</v>
      </c>
      <c r="D434" s="24" t="str">
        <f>'Input - Bookings'!E434</f>
        <v>065</v>
      </c>
      <c r="E434" s="24" t="str">
        <f>'Input - Bookings'!G434</f>
        <v>ADAPT-A-LIFT GROUP (NSW)</v>
      </c>
      <c r="F434" s="146" t="str">
        <f>'Input - Bookings'!I434</f>
        <v>H68631</v>
      </c>
      <c r="G434" s="24" t="str">
        <f>'Input - Bookings'!L434</f>
        <v>A6W9</v>
      </c>
      <c r="H434" s="24" t="str">
        <f>'Input - Bookings'!M434</f>
        <v>PC1.5</v>
      </c>
      <c r="I434" s="24" t="str">
        <f>'Input - Bookings'!B434</f>
        <v>AUD</v>
      </c>
      <c r="J434" s="13" t="str">
        <f>IF(I434="USD",INDEX('AP Plants'!A:A,MATCH(G434,'AP Plants'!D:D,0)),INDEX('Australia Plants'!A:A,MATCH(G434,'Australia Plants'!D:D,0)))</f>
        <v>Staxx</v>
      </c>
      <c r="K434" s="73">
        <v>1</v>
      </c>
      <c r="L434" s="97">
        <v>2140</v>
      </c>
      <c r="M434" s="97">
        <v>1282.92</v>
      </c>
      <c r="N434" s="99">
        <v>0.15563392142436872</v>
      </c>
      <c r="O434" s="25">
        <f t="shared" si="144"/>
        <v>0.40050467289719627</v>
      </c>
      <c r="P434" s="14">
        <f>IFERROR(IF(OR(B434&amp;C434="PAU",B434&amp;C434="AIN"),VLOOKUP(B434&amp;C434&amp;G434,#REF!,8,0),VLOOKUP(B434&amp;G434,#REF!,8,0)),0)</f>
        <v>0</v>
      </c>
      <c r="Q434" s="15">
        <f t="shared" si="145"/>
        <v>0.15563392142436872</v>
      </c>
      <c r="R434" s="16" t="str">
        <f t="shared" si="146"/>
        <v>AOP</v>
      </c>
      <c r="S434" s="17">
        <f t="shared" si="140"/>
        <v>199.66587047375111</v>
      </c>
      <c r="T434" s="18" t="e">
        <f t="shared" si="147"/>
        <v>#DIV/0!</v>
      </c>
      <c r="U434" s="23" t="e">
        <f t="shared" si="136"/>
        <v>#DIV/0!</v>
      </c>
      <c r="Y434" s="8" t="str">
        <f t="shared" si="148"/>
        <v>PAUH68631PC1.5</v>
      </c>
      <c r="Z434" s="8" t="str">
        <f>IF(Y434='Input - Bookings'!Q667,"OK","Check")</f>
        <v>Check</v>
      </c>
      <c r="AA434" s="139"/>
      <c r="AB434" s="103"/>
      <c r="AC434" s="103"/>
      <c r="AD434" s="100">
        <f t="shared" si="150"/>
        <v>641.02582576834698</v>
      </c>
      <c r="AE434" s="110"/>
      <c r="AF434" s="8" t="str">
        <f t="array" ref="AF434">_xlfn.XLOOKUP($G434,'AP Plants'!D:D,'AP Plants'!B:B)</f>
        <v>Class 3</v>
      </c>
      <c r="AG434" s="102">
        <f>AD434*'Currency &amp; Conversion'!$L$6</f>
        <v>954.61565973422239</v>
      </c>
      <c r="AH434" s="102"/>
      <c r="AI434" s="44">
        <v>1.4999999999999999E-2</v>
      </c>
      <c r="AJ434" s="15">
        <f>_xlfn.XLOOKUP($AF434,Warranty!B:B,Warranty!E:E)</f>
        <v>1.4999999999999999E-2</v>
      </c>
      <c r="AK434" s="8">
        <f>IF($I434="AUD",VLOOKUP(RIGHT('Wk - Margins'!$G434,3),'AU Freight'!C:G,5,0),0)</f>
        <v>100</v>
      </c>
      <c r="AL434" s="15">
        <f t="shared" si="137"/>
        <v>0</v>
      </c>
      <c r="AM434" s="61">
        <f t="shared" si="149"/>
        <v>1083.254129526249</v>
      </c>
      <c r="AN434" s="63">
        <f t="shared" si="138"/>
        <v>0.15563392142436872</v>
      </c>
      <c r="AQ434" s="147"/>
    </row>
    <row r="435" spans="1:43">
      <c r="A435" s="10" t="str">
        <f>'Input - Bookings'!A435</f>
        <v>10-27</v>
      </c>
      <c r="B435" s="11" t="str">
        <f>'Input - Bookings'!C435</f>
        <v>P</v>
      </c>
      <c r="C435" s="11" t="str">
        <f>'Input - Bookings'!H435</f>
        <v>AU</v>
      </c>
      <c r="D435" s="24" t="str">
        <f>'Input - Bookings'!E435</f>
        <v>065</v>
      </c>
      <c r="E435" s="24" t="str">
        <f>'Input - Bookings'!G435</f>
        <v>ADAPT-A-LIFT GROUP (NSW)</v>
      </c>
      <c r="F435" s="146" t="str">
        <f>'Input - Bookings'!I435</f>
        <v>H68632</v>
      </c>
      <c r="G435" s="24" t="str">
        <f>'Input - Bookings'!L435</f>
        <v>A6W9</v>
      </c>
      <c r="H435" s="24" t="str">
        <f>'Input - Bookings'!M435</f>
        <v>PC1.5</v>
      </c>
      <c r="I435" s="24" t="str">
        <f>'Input - Bookings'!B435</f>
        <v>AUD</v>
      </c>
      <c r="J435" s="13" t="str">
        <f>IF(I435="USD",INDEX('AP Plants'!A:A,MATCH(G435,'AP Plants'!D:D,0)),INDEX('Australia Plants'!A:A,MATCH(G435,'Australia Plants'!D:D,0)))</f>
        <v>Staxx</v>
      </c>
      <c r="K435" s="73">
        <v>1</v>
      </c>
      <c r="L435" s="97">
        <v>2140</v>
      </c>
      <c r="M435" s="97">
        <v>1282.92</v>
      </c>
      <c r="N435" s="99">
        <v>0.15563392142436872</v>
      </c>
      <c r="O435" s="25">
        <f t="shared" si="144"/>
        <v>0.40050467289719627</v>
      </c>
      <c r="P435" s="14">
        <f>IFERROR(IF(OR(B435&amp;C435="PAU",B435&amp;C435="AIN"),VLOOKUP(B435&amp;C435&amp;G435,#REF!,8,0),VLOOKUP(B435&amp;G435,#REF!,8,0)),0)</f>
        <v>0</v>
      </c>
      <c r="Q435" s="15">
        <f t="shared" si="145"/>
        <v>0.15563392142436872</v>
      </c>
      <c r="R435" s="16" t="str">
        <f t="shared" si="146"/>
        <v>AOP</v>
      </c>
      <c r="S435" s="17">
        <f t="shared" si="140"/>
        <v>199.66587047375111</v>
      </c>
      <c r="T435" s="18" t="e">
        <f t="shared" si="147"/>
        <v>#DIV/0!</v>
      </c>
      <c r="U435" s="23" t="e">
        <f t="shared" si="136"/>
        <v>#DIV/0!</v>
      </c>
      <c r="Y435" s="8" t="str">
        <f t="shared" si="148"/>
        <v>PAUH68632PC1.5</v>
      </c>
      <c r="Z435" s="8" t="str">
        <f>IF(Y435='Input - Bookings'!Q668,"OK","Check")</f>
        <v>Check</v>
      </c>
      <c r="AA435" s="139"/>
      <c r="AB435" s="103"/>
      <c r="AC435" s="103"/>
      <c r="AD435" s="100">
        <f t="shared" si="150"/>
        <v>641.02582576834698</v>
      </c>
      <c r="AE435" s="110"/>
      <c r="AF435" s="8" t="str">
        <f t="array" ref="AF435">_xlfn.XLOOKUP($G435,'AP Plants'!D:D,'AP Plants'!B:B)</f>
        <v>Class 3</v>
      </c>
      <c r="AG435" s="102">
        <f>AD435*'Currency &amp; Conversion'!$L$6</f>
        <v>954.61565973422239</v>
      </c>
      <c r="AH435" s="102"/>
      <c r="AI435" s="44">
        <v>1.4999999999999999E-2</v>
      </c>
      <c r="AJ435" s="15">
        <f>_xlfn.XLOOKUP($AF435,Warranty!B:B,Warranty!E:E)</f>
        <v>1.4999999999999999E-2</v>
      </c>
      <c r="AK435" s="8">
        <f>IF($I435="AUD",VLOOKUP(RIGHT('Wk - Margins'!$G435,3),'AU Freight'!C:G,5,0),0)</f>
        <v>100</v>
      </c>
      <c r="AL435" s="15">
        <f t="shared" si="137"/>
        <v>0</v>
      </c>
      <c r="AM435" s="61">
        <f t="shared" ref="AM435:AM498" si="151">SUM(AG435:AH435)*(1+AI435+AJ435+AL435)+AK435</f>
        <v>1083.254129526249</v>
      </c>
      <c r="AN435" s="63">
        <f t="shared" si="138"/>
        <v>0.15563392142436872</v>
      </c>
      <c r="AQ435" s="147"/>
    </row>
    <row r="436" spans="1:43">
      <c r="A436" s="10" t="str">
        <f>'Input - Bookings'!A436</f>
        <v>10-27</v>
      </c>
      <c r="B436" s="11" t="str">
        <f>'Input - Bookings'!C436</f>
        <v>P</v>
      </c>
      <c r="C436" s="11" t="str">
        <f>'Input - Bookings'!H436</f>
        <v>AU</v>
      </c>
      <c r="D436" s="24" t="str">
        <f>'Input - Bookings'!E436</f>
        <v>065</v>
      </c>
      <c r="E436" s="24" t="str">
        <f>'Input - Bookings'!G436</f>
        <v>ADAPT-A-LIFT GROUP (NSW)</v>
      </c>
      <c r="F436" s="146" t="str">
        <f>'Input - Bookings'!I436</f>
        <v>H68633</v>
      </c>
      <c r="G436" s="24" t="str">
        <f>'Input - Bookings'!L436</f>
        <v>A6W9</v>
      </c>
      <c r="H436" s="24" t="str">
        <f>'Input - Bookings'!M436</f>
        <v>PC1.5</v>
      </c>
      <c r="I436" s="24" t="str">
        <f>'Input - Bookings'!B436</f>
        <v>AUD</v>
      </c>
      <c r="J436" s="13" t="str">
        <f>IF(I436="USD",INDEX('AP Plants'!A:A,MATCH(G436,'AP Plants'!D:D,0)),INDEX('Australia Plants'!A:A,MATCH(G436,'Australia Plants'!D:D,0)))</f>
        <v>Staxx</v>
      </c>
      <c r="K436" s="73">
        <v>1</v>
      </c>
      <c r="L436" s="97">
        <v>2140</v>
      </c>
      <c r="M436" s="97">
        <v>1282.92</v>
      </c>
      <c r="N436" s="99">
        <v>0.15563392142436872</v>
      </c>
      <c r="O436" s="25">
        <f t="shared" si="144"/>
        <v>0.40050467289719627</v>
      </c>
      <c r="P436" s="14">
        <f>IFERROR(IF(OR(B436&amp;C436="PAU",B436&amp;C436="AIN"),VLOOKUP(B436&amp;C436&amp;G436,#REF!,8,0),VLOOKUP(B436&amp;G436,#REF!,8,0)),0)</f>
        <v>0</v>
      </c>
      <c r="Q436" s="15">
        <f t="shared" si="145"/>
        <v>0.15563392142436872</v>
      </c>
      <c r="R436" s="16" t="str">
        <f t="shared" si="146"/>
        <v>AOP</v>
      </c>
      <c r="S436" s="17">
        <f t="shared" si="140"/>
        <v>199.66587047375111</v>
      </c>
      <c r="T436" s="18" t="e">
        <f t="shared" si="147"/>
        <v>#DIV/0!</v>
      </c>
      <c r="U436" s="23" t="e">
        <f t="shared" si="136"/>
        <v>#DIV/0!</v>
      </c>
      <c r="Y436" s="8" t="str">
        <f t="shared" si="148"/>
        <v>PAUH68633PC1.5</v>
      </c>
      <c r="Z436" s="8" t="str">
        <f>IF(Y436='Input - Bookings'!Q669,"OK","Check")</f>
        <v>Check</v>
      </c>
      <c r="AA436" s="139"/>
      <c r="AB436" s="103"/>
      <c r="AC436" s="103"/>
      <c r="AD436" s="100">
        <f t="shared" si="150"/>
        <v>641.02582576834698</v>
      </c>
      <c r="AE436" s="110"/>
      <c r="AF436" s="8" t="str">
        <f t="array" ref="AF436">_xlfn.XLOOKUP($G436,'AP Plants'!D:D,'AP Plants'!B:B)</f>
        <v>Class 3</v>
      </c>
      <c r="AG436" s="102">
        <f>AD436*'Currency &amp; Conversion'!$L$6</f>
        <v>954.61565973422239</v>
      </c>
      <c r="AH436" s="102"/>
      <c r="AI436" s="44">
        <v>1.4999999999999999E-2</v>
      </c>
      <c r="AJ436" s="15">
        <f>_xlfn.XLOOKUP($AF436,Warranty!B:B,Warranty!E:E)</f>
        <v>1.4999999999999999E-2</v>
      </c>
      <c r="AK436" s="8">
        <f>IF($I436="AUD",VLOOKUP(RIGHT('Wk - Margins'!$G436,3),'AU Freight'!C:G,5,0),0)</f>
        <v>100</v>
      </c>
      <c r="AL436" s="15">
        <f t="shared" si="137"/>
        <v>0</v>
      </c>
      <c r="AM436" s="61">
        <f t="shared" si="151"/>
        <v>1083.254129526249</v>
      </c>
      <c r="AN436" s="63">
        <f t="shared" si="138"/>
        <v>0.15563392142436872</v>
      </c>
      <c r="AQ436" s="147"/>
    </row>
    <row r="437" spans="1:43">
      <c r="A437" s="10" t="str">
        <f>'Input - Bookings'!A437</f>
        <v>10-27</v>
      </c>
      <c r="B437" s="11" t="str">
        <f>'Input - Bookings'!C437</f>
        <v>P</v>
      </c>
      <c r="C437" s="11" t="str">
        <f>'Input - Bookings'!H437</f>
        <v>AU</v>
      </c>
      <c r="D437" s="24" t="str">
        <f>'Input - Bookings'!E437</f>
        <v>065</v>
      </c>
      <c r="E437" s="24" t="str">
        <f>'Input - Bookings'!G437</f>
        <v>ADAPT-A-LIFT GROUP (NSW)</v>
      </c>
      <c r="F437" s="146" t="str">
        <f>'Input - Bookings'!I437</f>
        <v>H68634</v>
      </c>
      <c r="G437" s="24" t="str">
        <f>'Input - Bookings'!L437</f>
        <v>A6W9</v>
      </c>
      <c r="H437" s="24" t="str">
        <f>'Input - Bookings'!M437</f>
        <v>PC1.5</v>
      </c>
      <c r="I437" s="24" t="str">
        <f>'Input - Bookings'!B437</f>
        <v>AUD</v>
      </c>
      <c r="J437" s="13" t="str">
        <f>IF(I437="USD",INDEX('AP Plants'!A:A,MATCH(G437,'AP Plants'!D:D,0)),INDEX('Australia Plants'!A:A,MATCH(G437,'Australia Plants'!D:D,0)))</f>
        <v>Staxx</v>
      </c>
      <c r="K437" s="73">
        <v>1</v>
      </c>
      <c r="L437" s="97">
        <v>2140</v>
      </c>
      <c r="M437" s="97">
        <v>1282.92</v>
      </c>
      <c r="N437" s="99">
        <v>0.15563392142436872</v>
      </c>
      <c r="O437" s="25">
        <f t="shared" si="144"/>
        <v>0.40050467289719627</v>
      </c>
      <c r="P437" s="14">
        <f>IFERROR(IF(OR(B437&amp;C437="PAU",B437&amp;C437="AIN"),VLOOKUP(B437&amp;C437&amp;G437,#REF!,8,0),VLOOKUP(B437&amp;G437,#REF!,8,0)),0)</f>
        <v>0</v>
      </c>
      <c r="Q437" s="15">
        <f t="shared" si="145"/>
        <v>0.15563392142436872</v>
      </c>
      <c r="R437" s="16" t="str">
        <f t="shared" si="146"/>
        <v>AOP</v>
      </c>
      <c r="S437" s="17">
        <f t="shared" si="140"/>
        <v>199.66587047375111</v>
      </c>
      <c r="T437" s="18" t="e">
        <f t="shared" si="147"/>
        <v>#DIV/0!</v>
      </c>
      <c r="U437" s="23" t="e">
        <f t="shared" si="136"/>
        <v>#DIV/0!</v>
      </c>
      <c r="Y437" s="8" t="str">
        <f t="shared" si="148"/>
        <v>PAUH68634PC1.5</v>
      </c>
      <c r="Z437" s="8" t="str">
        <f>IF(Y437='Input - Bookings'!Q670,"OK","Check")</f>
        <v>Check</v>
      </c>
      <c r="AA437" s="139"/>
      <c r="AB437" s="103"/>
      <c r="AC437" s="103"/>
      <c r="AD437" s="100">
        <f t="shared" si="150"/>
        <v>641.02582576834698</v>
      </c>
      <c r="AE437" s="100"/>
      <c r="AF437" s="8" t="str">
        <f t="array" ref="AF437">_xlfn.XLOOKUP($G437,'AP Plants'!D:D,'AP Plants'!B:B)</f>
        <v>Class 3</v>
      </c>
      <c r="AG437" s="102">
        <f>AD437*'Currency &amp; Conversion'!$L$6</f>
        <v>954.61565973422239</v>
      </c>
      <c r="AH437" s="102"/>
      <c r="AI437" s="44">
        <v>1.4999999999999999E-2</v>
      </c>
      <c r="AJ437" s="15">
        <f>_xlfn.XLOOKUP($AF437,Warranty!B:B,Warranty!E:E)</f>
        <v>1.4999999999999999E-2</v>
      </c>
      <c r="AK437" s="8">
        <f>IF($I437="AUD",VLOOKUP(RIGHT('Wk - Margins'!$G437,3),'AU Freight'!C:G,5,0),0)</f>
        <v>100</v>
      </c>
      <c r="AL437" s="15">
        <f t="shared" si="137"/>
        <v>0</v>
      </c>
      <c r="AM437" s="61">
        <f t="shared" si="151"/>
        <v>1083.254129526249</v>
      </c>
      <c r="AN437" s="63">
        <f t="shared" si="138"/>
        <v>0.15563392142436872</v>
      </c>
      <c r="AQ437" s="147"/>
    </row>
    <row r="438" spans="1:43">
      <c r="A438" s="10" t="str">
        <f>'Input - Bookings'!A438</f>
        <v>10-27</v>
      </c>
      <c r="B438" s="11" t="str">
        <f>'Input - Bookings'!C438</f>
        <v>P</v>
      </c>
      <c r="C438" s="11" t="str">
        <f>'Input - Bookings'!H438</f>
        <v>AU</v>
      </c>
      <c r="D438" s="24" t="str">
        <f>'Input - Bookings'!E438</f>
        <v>065</v>
      </c>
      <c r="E438" s="24" t="str">
        <f>'Input - Bookings'!G438</f>
        <v>ADAPT-A-LIFT GROUP (NSW)</v>
      </c>
      <c r="F438" s="146" t="str">
        <f>'Input - Bookings'!I438</f>
        <v>H68635</v>
      </c>
      <c r="G438" s="24" t="str">
        <f>'Input - Bookings'!L438</f>
        <v>A6W9</v>
      </c>
      <c r="H438" s="24" t="str">
        <f>'Input - Bookings'!M438</f>
        <v>PC1.5</v>
      </c>
      <c r="I438" s="24" t="str">
        <f>'Input - Bookings'!B438</f>
        <v>AUD</v>
      </c>
      <c r="J438" s="13" t="str">
        <f>IF(I438="USD",INDEX('AP Plants'!A:A,MATCH(G438,'AP Plants'!D:D,0)),INDEX('Australia Plants'!A:A,MATCH(G438,'Australia Plants'!D:D,0)))</f>
        <v>Staxx</v>
      </c>
      <c r="K438" s="73">
        <v>1</v>
      </c>
      <c r="L438" s="97">
        <v>2140</v>
      </c>
      <c r="M438" s="97">
        <v>1282.92</v>
      </c>
      <c r="N438" s="99">
        <v>0.15563392142436872</v>
      </c>
      <c r="O438" s="25">
        <f t="shared" si="144"/>
        <v>0.40050467289719627</v>
      </c>
      <c r="P438" s="14">
        <f>IFERROR(IF(OR(B438&amp;C438="PAU",B438&amp;C438="AIN"),VLOOKUP(B438&amp;C438&amp;G438,#REF!,8,0),VLOOKUP(B438&amp;G438,#REF!,8,0)),0)</f>
        <v>0</v>
      </c>
      <c r="Q438" s="15">
        <f t="shared" si="145"/>
        <v>0.15563392142436872</v>
      </c>
      <c r="R438" s="16" t="str">
        <f t="shared" si="146"/>
        <v>AOP</v>
      </c>
      <c r="S438" s="17">
        <f t="shared" si="140"/>
        <v>199.66587047375111</v>
      </c>
      <c r="T438" s="18" t="e">
        <f t="shared" si="147"/>
        <v>#DIV/0!</v>
      </c>
      <c r="U438" s="23" t="e">
        <f t="shared" si="136"/>
        <v>#DIV/0!</v>
      </c>
      <c r="Y438" s="8" t="str">
        <f t="shared" si="148"/>
        <v>PAUH68635PC1.5</v>
      </c>
      <c r="Z438" s="8" t="str">
        <f>IF(Y438='Input - Bookings'!Q671,"OK","Check")</f>
        <v>Check</v>
      </c>
      <c r="AA438" s="139"/>
      <c r="AB438" s="103"/>
      <c r="AC438" s="103"/>
      <c r="AD438" s="100">
        <f t="shared" si="150"/>
        <v>641.02582576834698</v>
      </c>
      <c r="AE438" s="100"/>
      <c r="AF438" s="8" t="str">
        <f t="array" ref="AF438">_xlfn.XLOOKUP($G438,'AP Plants'!D:D,'AP Plants'!B:B)</f>
        <v>Class 3</v>
      </c>
      <c r="AG438" s="102">
        <f>AD438*'Currency &amp; Conversion'!$L$6</f>
        <v>954.61565973422239</v>
      </c>
      <c r="AH438" s="102"/>
      <c r="AI438" s="44">
        <v>1.4999999999999999E-2</v>
      </c>
      <c r="AJ438" s="15">
        <f>_xlfn.XLOOKUP($AF438,Warranty!B:B,Warranty!E:E)</f>
        <v>1.4999999999999999E-2</v>
      </c>
      <c r="AK438" s="8">
        <f>IF($I438="AUD",VLOOKUP(RIGHT('Wk - Margins'!$G438,3),'AU Freight'!C:G,5,0),0)</f>
        <v>100</v>
      </c>
      <c r="AL438" s="15">
        <f t="shared" si="137"/>
        <v>0</v>
      </c>
      <c r="AM438" s="61">
        <f t="shared" si="151"/>
        <v>1083.254129526249</v>
      </c>
      <c r="AN438" s="63">
        <f t="shared" si="138"/>
        <v>0.15563392142436872</v>
      </c>
      <c r="AQ438" s="147"/>
    </row>
    <row r="439" spans="1:43">
      <c r="A439" s="10" t="str">
        <f>'Input - Bookings'!A439</f>
        <v>10-27</v>
      </c>
      <c r="B439" s="11" t="str">
        <f>'Input - Bookings'!C439</f>
        <v>P</v>
      </c>
      <c r="C439" s="11" t="str">
        <f>'Input - Bookings'!H439</f>
        <v>AU</v>
      </c>
      <c r="D439" s="24" t="str">
        <f>'Input - Bookings'!E439</f>
        <v>065</v>
      </c>
      <c r="E439" s="24" t="str">
        <f>'Input - Bookings'!G439</f>
        <v>ADAPT-A-LIFT GROUP (NSW)</v>
      </c>
      <c r="F439" s="146" t="str">
        <f>'Input - Bookings'!I439</f>
        <v>H68636</v>
      </c>
      <c r="G439" s="24" t="str">
        <f>'Input - Bookings'!L439</f>
        <v>A6W9</v>
      </c>
      <c r="H439" s="24" t="str">
        <f>'Input - Bookings'!M439</f>
        <v>PC1.5</v>
      </c>
      <c r="I439" s="24" t="str">
        <f>'Input - Bookings'!B439</f>
        <v>AUD</v>
      </c>
      <c r="J439" s="13" t="str">
        <f>IF(I439="USD",INDEX('AP Plants'!A:A,MATCH(G439,'AP Plants'!D:D,0)),INDEX('Australia Plants'!A:A,MATCH(G439,'Australia Plants'!D:D,0)))</f>
        <v>Staxx</v>
      </c>
      <c r="K439" s="73">
        <v>1</v>
      </c>
      <c r="L439" s="97">
        <v>2140</v>
      </c>
      <c r="M439" s="97">
        <v>1282.92</v>
      </c>
      <c r="N439" s="99">
        <v>0.15563392142436872</v>
      </c>
      <c r="O439" s="25">
        <f t="shared" si="144"/>
        <v>0.40050467289719627</v>
      </c>
      <c r="P439" s="14">
        <f>IFERROR(IF(OR(B439&amp;C439="PAU",B439&amp;C439="AIN"),VLOOKUP(B439&amp;C439&amp;G439,#REF!,8,0),VLOOKUP(B439&amp;G439,#REF!,8,0)),0)</f>
        <v>0</v>
      </c>
      <c r="Q439" s="15">
        <f t="shared" si="145"/>
        <v>0.15563392142436872</v>
      </c>
      <c r="R439" s="16" t="str">
        <f t="shared" si="146"/>
        <v>AOP</v>
      </c>
      <c r="S439" s="17">
        <f t="shared" si="140"/>
        <v>199.66587047375111</v>
      </c>
      <c r="T439" s="18" t="e">
        <f t="shared" si="147"/>
        <v>#DIV/0!</v>
      </c>
      <c r="U439" s="23" t="e">
        <f t="shared" si="136"/>
        <v>#DIV/0!</v>
      </c>
      <c r="Y439" s="8" t="str">
        <f t="shared" si="148"/>
        <v>PAUH68636PC1.5</v>
      </c>
      <c r="Z439" s="8" t="str">
        <f>IF(Y439='Input - Bookings'!Q672,"OK","Check")</f>
        <v>Check</v>
      </c>
      <c r="AA439" s="118"/>
      <c r="AB439" s="103"/>
      <c r="AC439" s="103"/>
      <c r="AD439" s="100">
        <f t="shared" si="150"/>
        <v>641.02582576834698</v>
      </c>
      <c r="AE439" s="100"/>
      <c r="AF439" s="8" t="str">
        <f t="array" ref="AF439">_xlfn.XLOOKUP($G439,'AP Plants'!D:D,'AP Plants'!B:B)</f>
        <v>Class 3</v>
      </c>
      <c r="AG439" s="102">
        <f>AD439*'Currency &amp; Conversion'!$L$6</f>
        <v>954.61565973422239</v>
      </c>
      <c r="AH439" s="102"/>
      <c r="AI439" s="44">
        <v>1.4999999999999999E-2</v>
      </c>
      <c r="AJ439" s="15">
        <f>_xlfn.XLOOKUP($AF439,Warranty!B:B,Warranty!E:E)</f>
        <v>1.4999999999999999E-2</v>
      </c>
      <c r="AK439" s="8">
        <f>IF($I439="AUD",VLOOKUP(RIGHT('Wk - Margins'!$G439,3),'AU Freight'!C:G,5,0),0)</f>
        <v>100</v>
      </c>
      <c r="AL439" s="15">
        <f t="shared" si="137"/>
        <v>0</v>
      </c>
      <c r="AM439" s="61">
        <f t="shared" si="151"/>
        <v>1083.254129526249</v>
      </c>
      <c r="AN439" s="63">
        <f t="shared" si="138"/>
        <v>0.15563392142436872</v>
      </c>
      <c r="AQ439" s="147"/>
    </row>
    <row r="440" spans="1:43">
      <c r="A440" s="10" t="str">
        <f>'Input - Bookings'!A440</f>
        <v>10-27</v>
      </c>
      <c r="B440" s="11" t="str">
        <f>'Input - Bookings'!C440</f>
        <v>P</v>
      </c>
      <c r="C440" s="11" t="str">
        <f>'Input - Bookings'!H440</f>
        <v>AU</v>
      </c>
      <c r="D440" s="24" t="str">
        <f>'Input - Bookings'!E440</f>
        <v>065</v>
      </c>
      <c r="E440" s="24" t="str">
        <f>'Input - Bookings'!G440</f>
        <v>ADAPT-A-LIFT GROUP (NSW)</v>
      </c>
      <c r="F440" s="146" t="str">
        <f>'Input - Bookings'!I440</f>
        <v>H68637</v>
      </c>
      <c r="G440" s="24" t="str">
        <f>'Input - Bookings'!L440</f>
        <v>A6W9</v>
      </c>
      <c r="H440" s="24" t="str">
        <f>'Input - Bookings'!M440</f>
        <v>PC1.5</v>
      </c>
      <c r="I440" s="24" t="str">
        <f>'Input - Bookings'!B440</f>
        <v>AUD</v>
      </c>
      <c r="J440" s="13" t="str">
        <f>IF(I440="USD",INDEX('AP Plants'!A:A,MATCH(G440,'AP Plants'!D:D,0)),INDEX('Australia Plants'!A:A,MATCH(G440,'Australia Plants'!D:D,0)))</f>
        <v>Staxx</v>
      </c>
      <c r="K440" s="73">
        <v>1</v>
      </c>
      <c r="L440" s="97">
        <v>2140</v>
      </c>
      <c r="M440" s="97">
        <v>1282.92</v>
      </c>
      <c r="N440" s="99">
        <v>0.15563392142436872</v>
      </c>
      <c r="O440" s="25">
        <f t="shared" si="144"/>
        <v>0.40050467289719627</v>
      </c>
      <c r="P440" s="14">
        <f>IFERROR(IF(OR(B440&amp;C440="PAU",B440&amp;C440="AIN"),VLOOKUP(B440&amp;C440&amp;G440,#REF!,8,0),VLOOKUP(B440&amp;G440,#REF!,8,0)),0)</f>
        <v>0</v>
      </c>
      <c r="Q440" s="15">
        <f t="shared" si="145"/>
        <v>0.15563392142436872</v>
      </c>
      <c r="R440" s="16" t="str">
        <f t="shared" si="146"/>
        <v>AOP</v>
      </c>
      <c r="S440" s="17">
        <f t="shared" si="140"/>
        <v>199.66587047375111</v>
      </c>
      <c r="T440" s="18" t="e">
        <f t="shared" si="147"/>
        <v>#DIV/0!</v>
      </c>
      <c r="U440" s="23" t="e">
        <f t="shared" si="136"/>
        <v>#DIV/0!</v>
      </c>
      <c r="Y440" s="8" t="str">
        <f t="shared" si="148"/>
        <v>PAUH68637PC1.5</v>
      </c>
      <c r="Z440" s="8" t="str">
        <f>IF(Y440='Input - Bookings'!Q673,"OK","Check")</f>
        <v>Check</v>
      </c>
      <c r="AA440" s="118"/>
      <c r="AB440" s="103"/>
      <c r="AC440" s="103"/>
      <c r="AD440" s="100">
        <f t="shared" si="150"/>
        <v>641.02582576834698</v>
      </c>
      <c r="AE440" s="98"/>
      <c r="AF440" s="8" t="str">
        <f t="array" ref="AF440">_xlfn.XLOOKUP($G440,'AP Plants'!D:D,'AP Plants'!B:B)</f>
        <v>Class 3</v>
      </c>
      <c r="AG440" s="102">
        <f>AD440*'Currency &amp; Conversion'!$L$6</f>
        <v>954.61565973422239</v>
      </c>
      <c r="AH440" s="102"/>
      <c r="AI440" s="44">
        <v>1.4999999999999999E-2</v>
      </c>
      <c r="AJ440" s="15">
        <f>_xlfn.XLOOKUP($AF440,Warranty!B:B,Warranty!E:E)</f>
        <v>1.4999999999999999E-2</v>
      </c>
      <c r="AK440" s="8">
        <f>IF($I440="AUD",VLOOKUP(RIGHT('Wk - Margins'!$G440,3),'AU Freight'!C:G,5,0),0)</f>
        <v>100</v>
      </c>
      <c r="AL440" s="15">
        <f t="shared" si="137"/>
        <v>0</v>
      </c>
      <c r="AM440" s="61">
        <f t="shared" si="151"/>
        <v>1083.254129526249</v>
      </c>
      <c r="AN440" s="63">
        <f t="shared" si="138"/>
        <v>0.15563392142436872</v>
      </c>
      <c r="AQ440" s="147"/>
    </row>
    <row r="441" spans="1:43">
      <c r="A441" s="10" t="str">
        <f>'Input - Bookings'!A441</f>
        <v>10-27</v>
      </c>
      <c r="B441" s="11" t="str">
        <f>'Input - Bookings'!C441</f>
        <v>P</v>
      </c>
      <c r="C441" s="11" t="str">
        <f>'Input - Bookings'!H441</f>
        <v>AU</v>
      </c>
      <c r="D441" s="24" t="str">
        <f>'Input - Bookings'!E441</f>
        <v>065</v>
      </c>
      <c r="E441" s="24" t="str">
        <f>'Input - Bookings'!G441</f>
        <v>ADAPT-A-LIFT GROUP (NSW)</v>
      </c>
      <c r="F441" s="146" t="str">
        <f>'Input - Bookings'!I441</f>
        <v>H68597</v>
      </c>
      <c r="G441" s="24" t="str">
        <f>'Input - Bookings'!L441</f>
        <v>A6W9</v>
      </c>
      <c r="H441" s="24" t="str">
        <f>'Input - Bookings'!M441</f>
        <v>PC1.5</v>
      </c>
      <c r="I441" s="24" t="str">
        <f>'Input - Bookings'!B441</f>
        <v>AUD</v>
      </c>
      <c r="J441" s="13" t="str">
        <f>IF(I441="USD",INDEX('AP Plants'!A:A,MATCH(G441,'AP Plants'!D:D,0)),INDEX('Australia Plants'!A:A,MATCH(G441,'Australia Plants'!D:D,0)))</f>
        <v>Staxx</v>
      </c>
      <c r="K441" s="73">
        <v>1</v>
      </c>
      <c r="L441" s="97">
        <v>2140</v>
      </c>
      <c r="M441" s="97">
        <v>1282.92</v>
      </c>
      <c r="N441" s="99">
        <v>0.15563392142436872</v>
      </c>
      <c r="O441" s="25">
        <f t="shared" si="144"/>
        <v>0.40050467289719627</v>
      </c>
      <c r="P441" s="14">
        <f>IFERROR(IF(OR(B441&amp;C441="PAU",B441&amp;C441="AIN"),VLOOKUP(B441&amp;C441&amp;G441,#REF!,8,0),VLOOKUP(B441&amp;G441,#REF!,8,0)),0)</f>
        <v>0</v>
      </c>
      <c r="Q441" s="15">
        <f t="shared" si="145"/>
        <v>0.15563392142436872</v>
      </c>
      <c r="R441" s="16" t="str">
        <f t="shared" si="146"/>
        <v>AOP</v>
      </c>
      <c r="S441" s="17">
        <f t="shared" si="140"/>
        <v>199.66587047375111</v>
      </c>
      <c r="T441" s="18" t="e">
        <f t="shared" si="147"/>
        <v>#DIV/0!</v>
      </c>
      <c r="U441" s="23" t="e">
        <f t="shared" si="136"/>
        <v>#DIV/0!</v>
      </c>
      <c r="Y441" s="8" t="str">
        <f t="shared" si="148"/>
        <v>PAUH68597PC1.5</v>
      </c>
      <c r="Z441" s="8" t="str">
        <f>IF(Y441='Input - Bookings'!Q674,"OK","Check")</f>
        <v>Check</v>
      </c>
      <c r="AA441" s="118"/>
      <c r="AB441" s="103"/>
      <c r="AC441" s="103"/>
      <c r="AD441" s="100">
        <f t="shared" si="150"/>
        <v>641.02582576834698</v>
      </c>
      <c r="AE441" s="98"/>
      <c r="AF441" s="8" t="str">
        <f t="array" ref="AF441">_xlfn.XLOOKUP($G441,'AP Plants'!D:D,'AP Plants'!B:B)</f>
        <v>Class 3</v>
      </c>
      <c r="AG441" s="102">
        <f>AD441*'Currency &amp; Conversion'!$L$6</f>
        <v>954.61565973422239</v>
      </c>
      <c r="AH441" s="102"/>
      <c r="AI441" s="44">
        <v>1.4999999999999999E-2</v>
      </c>
      <c r="AJ441" s="15">
        <f>_xlfn.XLOOKUP($AF441,Warranty!B:B,Warranty!E:E)</f>
        <v>1.4999999999999999E-2</v>
      </c>
      <c r="AK441" s="8">
        <f>IF($I441="AUD",VLOOKUP(RIGHT('Wk - Margins'!$G441,3),'AU Freight'!C:G,5,0),0)</f>
        <v>100</v>
      </c>
      <c r="AL441" s="15">
        <f t="shared" si="137"/>
        <v>0</v>
      </c>
      <c r="AM441" s="61">
        <f t="shared" si="151"/>
        <v>1083.254129526249</v>
      </c>
      <c r="AN441" s="63">
        <f t="shared" si="138"/>
        <v>0.15563392142436872</v>
      </c>
      <c r="AQ441" s="147"/>
    </row>
    <row r="442" spans="1:43">
      <c r="A442" s="10" t="str">
        <f>'Input - Bookings'!A442</f>
        <v>10-27</v>
      </c>
      <c r="B442" s="11" t="str">
        <f>'Input - Bookings'!C442</f>
        <v>P</v>
      </c>
      <c r="C442" s="11" t="str">
        <f>'Input - Bookings'!H442</f>
        <v>AU</v>
      </c>
      <c r="D442" s="24" t="str">
        <f>'Input - Bookings'!E442</f>
        <v>065</v>
      </c>
      <c r="E442" s="24" t="str">
        <f>'Input - Bookings'!G442</f>
        <v>ADAPT-A-LIFT GROUP (NSW)</v>
      </c>
      <c r="F442" s="146" t="str">
        <f>'Input - Bookings'!I442</f>
        <v>H68599</v>
      </c>
      <c r="G442" s="24" t="str">
        <f>'Input - Bookings'!L442</f>
        <v>A6W9</v>
      </c>
      <c r="H442" s="24" t="str">
        <f>'Input - Bookings'!M442</f>
        <v>PC1.5</v>
      </c>
      <c r="I442" s="24" t="str">
        <f>'Input - Bookings'!B442</f>
        <v>AUD</v>
      </c>
      <c r="J442" s="13" t="str">
        <f>IF(I442="USD",INDEX('AP Plants'!A:A,MATCH(G442,'AP Plants'!D:D,0)),INDEX('Australia Plants'!A:A,MATCH(G442,'Australia Plants'!D:D,0)))</f>
        <v>Staxx</v>
      </c>
      <c r="K442" s="73">
        <v>1</v>
      </c>
      <c r="L442" s="97">
        <v>2140</v>
      </c>
      <c r="M442" s="97">
        <v>1282.92</v>
      </c>
      <c r="N442" s="99">
        <v>0.15563392142436872</v>
      </c>
      <c r="O442" s="25">
        <f t="shared" si="144"/>
        <v>0.40050467289719627</v>
      </c>
      <c r="P442" s="14">
        <f>IFERROR(IF(OR(B442&amp;C442="PAU",B442&amp;C442="AIN"),VLOOKUP(B442&amp;C442&amp;G442,#REF!,8,0),VLOOKUP(B442&amp;G442,#REF!,8,0)),0)</f>
        <v>0</v>
      </c>
      <c r="Q442" s="15">
        <f t="shared" si="145"/>
        <v>0.15563392142436872</v>
      </c>
      <c r="R442" s="16" t="str">
        <f t="shared" si="146"/>
        <v>AOP</v>
      </c>
      <c r="S442" s="17">
        <f t="shared" si="140"/>
        <v>199.66587047375111</v>
      </c>
      <c r="T442" s="18" t="e">
        <f t="shared" si="147"/>
        <v>#DIV/0!</v>
      </c>
      <c r="U442" s="23" t="e">
        <f t="shared" si="136"/>
        <v>#DIV/0!</v>
      </c>
      <c r="Y442" s="8" t="str">
        <f t="shared" si="148"/>
        <v>PAUH68599PC1.5</v>
      </c>
      <c r="Z442" s="8" t="str">
        <f>IF(Y442='Input - Bookings'!Q675,"OK","Check")</f>
        <v>Check</v>
      </c>
      <c r="AA442" s="118"/>
      <c r="AB442" s="103"/>
      <c r="AC442" s="103"/>
      <c r="AD442" s="100">
        <f t="shared" si="150"/>
        <v>641.02582576834698</v>
      </c>
      <c r="AE442" s="98"/>
      <c r="AF442" s="8" t="str">
        <f t="array" ref="AF442">_xlfn.XLOOKUP($G442,'AP Plants'!D:D,'AP Plants'!B:B)</f>
        <v>Class 3</v>
      </c>
      <c r="AG442" s="102">
        <f>AD442*'Currency &amp; Conversion'!$L$6</f>
        <v>954.61565973422239</v>
      </c>
      <c r="AH442" s="102"/>
      <c r="AI442" s="44">
        <v>1.4999999999999999E-2</v>
      </c>
      <c r="AJ442" s="15">
        <f>_xlfn.XLOOKUP($AF442,Warranty!B:B,Warranty!E:E)</f>
        <v>1.4999999999999999E-2</v>
      </c>
      <c r="AK442" s="8">
        <f>IF($I442="AUD",VLOOKUP(RIGHT('Wk - Margins'!$G442,3),'AU Freight'!C:G,5,0),0)</f>
        <v>100</v>
      </c>
      <c r="AL442" s="15">
        <f t="shared" si="137"/>
        <v>0</v>
      </c>
      <c r="AM442" s="61">
        <f t="shared" si="151"/>
        <v>1083.254129526249</v>
      </c>
      <c r="AN442" s="63">
        <f t="shared" si="138"/>
        <v>0.15563392142436872</v>
      </c>
      <c r="AQ442" s="147"/>
    </row>
    <row r="443" spans="1:43">
      <c r="A443" s="10" t="str">
        <f>'Input - Bookings'!A443</f>
        <v>10-27</v>
      </c>
      <c r="B443" s="11" t="str">
        <f>'Input - Bookings'!C443</f>
        <v>P</v>
      </c>
      <c r="C443" s="11" t="str">
        <f>'Input - Bookings'!H443</f>
        <v>AU</v>
      </c>
      <c r="D443" s="24" t="str">
        <f>'Input - Bookings'!E443</f>
        <v>065</v>
      </c>
      <c r="E443" s="24" t="str">
        <f>'Input - Bookings'!G443</f>
        <v>ADAPT-A-LIFT GROUP (NSW)</v>
      </c>
      <c r="F443" s="146" t="str">
        <f>'Input - Bookings'!I443</f>
        <v>H68600</v>
      </c>
      <c r="G443" s="24" t="str">
        <f>'Input - Bookings'!L443</f>
        <v>A6W9</v>
      </c>
      <c r="H443" s="24" t="str">
        <f>'Input - Bookings'!M443</f>
        <v>PC1.5</v>
      </c>
      <c r="I443" s="24" t="str">
        <f>'Input - Bookings'!B443</f>
        <v>AUD</v>
      </c>
      <c r="J443" s="13" t="str">
        <f>IF(I443="USD",INDEX('AP Plants'!A:A,MATCH(G443,'AP Plants'!D:D,0)),INDEX('Australia Plants'!A:A,MATCH(G443,'Australia Plants'!D:D,0)))</f>
        <v>Staxx</v>
      </c>
      <c r="K443" s="73">
        <v>1</v>
      </c>
      <c r="L443" s="97">
        <v>2140</v>
      </c>
      <c r="M443" s="97">
        <v>1282.92</v>
      </c>
      <c r="N443" s="99">
        <v>0.15563392142436872</v>
      </c>
      <c r="O443" s="25">
        <f t="shared" si="144"/>
        <v>0.40050467289719627</v>
      </c>
      <c r="P443" s="14">
        <f>IFERROR(IF(OR(B443&amp;C443="PAU",B443&amp;C443="AIN"),VLOOKUP(B443&amp;C443&amp;G443,#REF!,8,0),VLOOKUP(B443&amp;G443,#REF!,8,0)),0)</f>
        <v>0</v>
      </c>
      <c r="Q443" s="15">
        <f t="shared" si="145"/>
        <v>0.15563392142436872</v>
      </c>
      <c r="R443" s="16" t="str">
        <f t="shared" si="146"/>
        <v>AOP</v>
      </c>
      <c r="S443" s="17">
        <f t="shared" si="140"/>
        <v>199.66587047375111</v>
      </c>
      <c r="T443" s="18" t="e">
        <f t="shared" si="147"/>
        <v>#DIV/0!</v>
      </c>
      <c r="U443" s="23" t="e">
        <f t="shared" si="136"/>
        <v>#DIV/0!</v>
      </c>
      <c r="Y443" s="8" t="str">
        <f t="shared" si="148"/>
        <v>PAUH68600PC1.5</v>
      </c>
      <c r="Z443" s="8" t="str">
        <f>IF(Y443='Input - Bookings'!Q676,"OK","Check")</f>
        <v>Check</v>
      </c>
      <c r="AA443" s="118"/>
      <c r="AB443" s="103"/>
      <c r="AC443" s="103"/>
      <c r="AD443" s="100">
        <f t="shared" si="150"/>
        <v>641.02582576834698</v>
      </c>
      <c r="AE443" s="110"/>
      <c r="AF443" s="8" t="str">
        <f t="array" ref="AF443">_xlfn.XLOOKUP($G443,'AP Plants'!D:D,'AP Plants'!B:B)</f>
        <v>Class 3</v>
      </c>
      <c r="AG443" s="102">
        <f>AD443*'Currency &amp; Conversion'!$L$6</f>
        <v>954.61565973422239</v>
      </c>
      <c r="AH443" s="102"/>
      <c r="AI443" s="44">
        <v>1.4999999999999999E-2</v>
      </c>
      <c r="AJ443" s="15">
        <f>_xlfn.XLOOKUP($AF443,Warranty!B:B,Warranty!E:E)</f>
        <v>1.4999999999999999E-2</v>
      </c>
      <c r="AK443" s="8">
        <f>IF($I443="AUD",VLOOKUP(RIGHT('Wk - Margins'!$G443,3),'AU Freight'!C:G,5,0),0)</f>
        <v>100</v>
      </c>
      <c r="AL443" s="15">
        <f t="shared" si="137"/>
        <v>0</v>
      </c>
      <c r="AM443" s="61">
        <f t="shared" si="151"/>
        <v>1083.254129526249</v>
      </c>
      <c r="AN443" s="63">
        <f t="shared" si="138"/>
        <v>0.15563392142436872</v>
      </c>
      <c r="AQ443" s="147"/>
    </row>
    <row r="444" spans="1:43">
      <c r="A444" s="10" t="str">
        <f>'Input - Bookings'!A444</f>
        <v>10-27</v>
      </c>
      <c r="B444" s="11" t="str">
        <f>'Input - Bookings'!C444</f>
        <v>P</v>
      </c>
      <c r="C444" s="11" t="str">
        <f>'Input - Bookings'!H444</f>
        <v>AU</v>
      </c>
      <c r="D444" s="24" t="str">
        <f>'Input - Bookings'!E444</f>
        <v>065</v>
      </c>
      <c r="E444" s="24" t="str">
        <f>'Input - Bookings'!G444</f>
        <v>ADAPT-A-LIFT GROUP (NSW)</v>
      </c>
      <c r="F444" s="146" t="str">
        <f>'Input - Bookings'!I444</f>
        <v>H68601</v>
      </c>
      <c r="G444" s="24" t="str">
        <f>'Input - Bookings'!L444</f>
        <v>A6W9</v>
      </c>
      <c r="H444" s="24" t="str">
        <f>'Input - Bookings'!M444</f>
        <v>PC1.5</v>
      </c>
      <c r="I444" s="24" t="str">
        <f>'Input - Bookings'!B444</f>
        <v>AUD</v>
      </c>
      <c r="J444" s="13" t="str">
        <f>IF(I444="USD",INDEX('AP Plants'!A:A,MATCH(G444,'AP Plants'!D:D,0)),INDEX('Australia Plants'!A:A,MATCH(G444,'Australia Plants'!D:D,0)))</f>
        <v>Staxx</v>
      </c>
      <c r="K444" s="73">
        <v>1</v>
      </c>
      <c r="L444" s="97">
        <v>2140</v>
      </c>
      <c r="M444" s="97">
        <v>1282.92</v>
      </c>
      <c r="N444" s="99">
        <v>0.15563392142436872</v>
      </c>
      <c r="O444" s="25">
        <f t="shared" si="144"/>
        <v>0.40050467289719627</v>
      </c>
      <c r="P444" s="14">
        <f>IFERROR(IF(OR(B444&amp;C444="PAU",B444&amp;C444="AIN"),VLOOKUP(B444&amp;C444&amp;G444,#REF!,8,0),VLOOKUP(B444&amp;G444,#REF!,8,0)),0)</f>
        <v>0</v>
      </c>
      <c r="Q444" s="15">
        <f t="shared" si="145"/>
        <v>0.15563392142436872</v>
      </c>
      <c r="R444" s="16" t="str">
        <f t="shared" si="146"/>
        <v>AOP</v>
      </c>
      <c r="S444" s="17">
        <f t="shared" si="140"/>
        <v>199.66587047375111</v>
      </c>
      <c r="T444" s="18" t="e">
        <f t="shared" si="147"/>
        <v>#DIV/0!</v>
      </c>
      <c r="U444" s="23" t="e">
        <f t="shared" si="136"/>
        <v>#DIV/0!</v>
      </c>
      <c r="Y444" s="8" t="str">
        <f t="shared" si="148"/>
        <v>PAUH68601PC1.5</v>
      </c>
      <c r="Z444" s="8" t="str">
        <f>IF(Y444='Input - Bookings'!Q677,"OK","Check")</f>
        <v>Check</v>
      </c>
      <c r="AA444" s="118"/>
      <c r="AB444" s="103"/>
      <c r="AC444" s="103"/>
      <c r="AD444" s="100">
        <f t="shared" si="150"/>
        <v>641.02582576834698</v>
      </c>
      <c r="AE444" s="110"/>
      <c r="AF444" s="8" t="str">
        <f t="array" ref="AF444">_xlfn.XLOOKUP($G444,'AP Plants'!D:D,'AP Plants'!B:B)</f>
        <v>Class 3</v>
      </c>
      <c r="AG444" s="102">
        <f>AD444*'Currency &amp; Conversion'!$L$6</f>
        <v>954.61565973422239</v>
      </c>
      <c r="AH444" s="102"/>
      <c r="AI444" s="44">
        <v>1.4999999999999999E-2</v>
      </c>
      <c r="AJ444" s="15">
        <f>_xlfn.XLOOKUP($AF444,Warranty!B:B,Warranty!E:E)</f>
        <v>1.4999999999999999E-2</v>
      </c>
      <c r="AK444" s="8">
        <f>IF($I444="AUD",VLOOKUP(RIGHT('Wk - Margins'!$G444,3),'AU Freight'!C:G,5,0),0)</f>
        <v>100</v>
      </c>
      <c r="AL444" s="15">
        <f t="shared" si="137"/>
        <v>0</v>
      </c>
      <c r="AM444" s="61">
        <f t="shared" si="151"/>
        <v>1083.254129526249</v>
      </c>
      <c r="AN444" s="63">
        <f t="shared" si="138"/>
        <v>0.15563392142436872</v>
      </c>
      <c r="AQ444" s="147"/>
    </row>
    <row r="445" spans="1:43">
      <c r="A445" s="10" t="str">
        <f>'Input - Bookings'!A445</f>
        <v>10-27</v>
      </c>
      <c r="B445" s="11" t="str">
        <f>'Input - Bookings'!C445</f>
        <v>P</v>
      </c>
      <c r="C445" s="11" t="str">
        <f>'Input - Bookings'!H445</f>
        <v>AU</v>
      </c>
      <c r="D445" s="24" t="str">
        <f>'Input - Bookings'!E445</f>
        <v>065</v>
      </c>
      <c r="E445" s="24" t="str">
        <f>'Input - Bookings'!G445</f>
        <v>ADAPT-A-LIFT GROUP (NSW)</v>
      </c>
      <c r="F445" s="146" t="str">
        <f>'Input - Bookings'!I445</f>
        <v>H68602</v>
      </c>
      <c r="G445" s="24" t="str">
        <f>'Input - Bookings'!L445</f>
        <v>A6W9</v>
      </c>
      <c r="H445" s="24" t="str">
        <f>'Input - Bookings'!M445</f>
        <v>PC1.5</v>
      </c>
      <c r="I445" s="24" t="str">
        <f>'Input - Bookings'!B445</f>
        <v>AUD</v>
      </c>
      <c r="J445" s="13" t="str">
        <f>IF(I445="USD",INDEX('AP Plants'!A:A,MATCH(G445,'AP Plants'!D:D,0)),INDEX('Australia Plants'!A:A,MATCH(G445,'Australia Plants'!D:D,0)))</f>
        <v>Staxx</v>
      </c>
      <c r="K445" s="73">
        <v>1</v>
      </c>
      <c r="L445" s="97">
        <v>2140</v>
      </c>
      <c r="M445" s="97">
        <v>1282.92</v>
      </c>
      <c r="N445" s="99">
        <v>0.15563392142436872</v>
      </c>
      <c r="O445" s="25">
        <f t="shared" si="144"/>
        <v>0.40050467289719627</v>
      </c>
      <c r="P445" s="14">
        <f>IFERROR(IF(OR(B445&amp;C445="PAU",B445&amp;C445="AIN"),VLOOKUP(B445&amp;C445&amp;G445,#REF!,8,0),VLOOKUP(B445&amp;G445,#REF!,8,0)),0)</f>
        <v>0</v>
      </c>
      <c r="Q445" s="15">
        <f t="shared" si="145"/>
        <v>0.15563392142436872</v>
      </c>
      <c r="R445" s="16" t="str">
        <f t="shared" si="146"/>
        <v>AOP</v>
      </c>
      <c r="S445" s="17">
        <f t="shared" si="140"/>
        <v>199.66587047375111</v>
      </c>
      <c r="T445" s="18" t="e">
        <f t="shared" si="147"/>
        <v>#DIV/0!</v>
      </c>
      <c r="U445" s="23" t="e">
        <f t="shared" si="136"/>
        <v>#DIV/0!</v>
      </c>
      <c r="Y445" s="8" t="str">
        <f t="shared" si="148"/>
        <v>PAUH68602PC1.5</v>
      </c>
      <c r="Z445" s="8" t="str">
        <f>IF(Y445='Input - Bookings'!Q678,"OK","Check")</f>
        <v>Check</v>
      </c>
      <c r="AA445" s="139"/>
      <c r="AB445" s="103"/>
      <c r="AC445" s="103"/>
      <c r="AD445" s="100">
        <f t="shared" si="150"/>
        <v>641.02582576834698</v>
      </c>
      <c r="AE445" s="100"/>
      <c r="AF445" s="8" t="str">
        <f t="array" ref="AF445">_xlfn.XLOOKUP($G445,'AP Plants'!D:D,'AP Plants'!B:B)</f>
        <v>Class 3</v>
      </c>
      <c r="AG445" s="102">
        <f>AD445*'Currency &amp; Conversion'!$L$6</f>
        <v>954.61565973422239</v>
      </c>
      <c r="AH445" s="102"/>
      <c r="AI445" s="44">
        <v>1.4999999999999999E-2</v>
      </c>
      <c r="AJ445" s="15">
        <f>_xlfn.XLOOKUP($AF445,Warranty!B:B,Warranty!E:E)</f>
        <v>1.4999999999999999E-2</v>
      </c>
      <c r="AK445" s="8">
        <f>IF($I445="AUD",VLOOKUP(RIGHT('Wk - Margins'!$G445,3),'AU Freight'!C:G,5,0),0)</f>
        <v>100</v>
      </c>
      <c r="AL445" s="15">
        <f t="shared" si="137"/>
        <v>0</v>
      </c>
      <c r="AM445" s="61">
        <f t="shared" si="151"/>
        <v>1083.254129526249</v>
      </c>
      <c r="AN445" s="63">
        <f t="shared" si="138"/>
        <v>0.15563392142436872</v>
      </c>
      <c r="AQ445" s="147"/>
    </row>
    <row r="446" spans="1:43">
      <c r="A446" s="10" t="str">
        <f>'Input - Bookings'!A446</f>
        <v>10-27</v>
      </c>
      <c r="B446" s="11" t="str">
        <f>'Input - Bookings'!C446</f>
        <v>P</v>
      </c>
      <c r="C446" s="11" t="str">
        <f>'Input - Bookings'!H446</f>
        <v>AU</v>
      </c>
      <c r="D446" s="24" t="str">
        <f>'Input - Bookings'!E446</f>
        <v>065</v>
      </c>
      <c r="E446" s="24" t="str">
        <f>'Input - Bookings'!G446</f>
        <v>ADAPT-A-LIFT GROUP (NSW)</v>
      </c>
      <c r="F446" s="146" t="str">
        <f>'Input - Bookings'!I446</f>
        <v>H68603</v>
      </c>
      <c r="G446" s="24" t="str">
        <f>'Input - Bookings'!L446</f>
        <v>A6W9</v>
      </c>
      <c r="H446" s="24" t="str">
        <f>'Input - Bookings'!M446</f>
        <v>PC1.5</v>
      </c>
      <c r="I446" s="24" t="str">
        <f>'Input - Bookings'!B446</f>
        <v>AUD</v>
      </c>
      <c r="J446" s="13" t="str">
        <f>IF(I446="USD",INDEX('AP Plants'!A:A,MATCH(G446,'AP Plants'!D:D,0)),INDEX('Australia Plants'!A:A,MATCH(G446,'Australia Plants'!D:D,0)))</f>
        <v>Staxx</v>
      </c>
      <c r="K446" s="73">
        <v>1</v>
      </c>
      <c r="L446" s="97">
        <v>2140</v>
      </c>
      <c r="M446" s="97">
        <v>1282.92</v>
      </c>
      <c r="N446" s="99">
        <v>0.15563392142436872</v>
      </c>
      <c r="O446" s="25">
        <f t="shared" si="144"/>
        <v>0.40050467289719627</v>
      </c>
      <c r="P446" s="14">
        <f>IFERROR(IF(OR(B446&amp;C446="PAU",B446&amp;C446="AIN"),VLOOKUP(B446&amp;C446&amp;G446,#REF!,8,0),VLOOKUP(B446&amp;G446,#REF!,8,0)),0)</f>
        <v>0</v>
      </c>
      <c r="Q446" s="15">
        <f t="shared" si="145"/>
        <v>0.15563392142436872</v>
      </c>
      <c r="R446" s="16" t="str">
        <f t="shared" si="146"/>
        <v>AOP</v>
      </c>
      <c r="S446" s="17">
        <f t="shared" si="140"/>
        <v>199.66587047375111</v>
      </c>
      <c r="T446" s="18" t="e">
        <f t="shared" si="147"/>
        <v>#DIV/0!</v>
      </c>
      <c r="U446" s="23" t="e">
        <f t="shared" si="136"/>
        <v>#DIV/0!</v>
      </c>
      <c r="Y446" s="8" t="str">
        <f t="shared" si="148"/>
        <v>PAUH68603PC1.5</v>
      </c>
      <c r="Z446" s="8" t="str">
        <f>IF(Y446='Input - Bookings'!Q679,"OK","Check")</f>
        <v>Check</v>
      </c>
      <c r="AA446" s="118"/>
      <c r="AB446" s="103"/>
      <c r="AC446" s="103"/>
      <c r="AD446" s="100">
        <f t="shared" si="150"/>
        <v>641.02582576834698</v>
      </c>
      <c r="AE446" s="100"/>
      <c r="AF446" s="8" t="str">
        <f t="array" ref="AF446">_xlfn.XLOOKUP($G446,'AP Plants'!D:D,'AP Plants'!B:B)</f>
        <v>Class 3</v>
      </c>
      <c r="AG446" s="102">
        <f>AD446*'Currency &amp; Conversion'!$L$6</f>
        <v>954.61565973422239</v>
      </c>
      <c r="AH446" s="102"/>
      <c r="AI446" s="44">
        <v>1.4999999999999999E-2</v>
      </c>
      <c r="AJ446" s="15">
        <f>_xlfn.XLOOKUP($AF446,Warranty!B:B,Warranty!E:E)</f>
        <v>1.4999999999999999E-2</v>
      </c>
      <c r="AK446" s="8">
        <f>IF($I446="AUD",VLOOKUP(RIGHT('Wk - Margins'!$G446,3),'AU Freight'!C:G,5,0),0)</f>
        <v>100</v>
      </c>
      <c r="AL446" s="15">
        <f t="shared" si="137"/>
        <v>0</v>
      </c>
      <c r="AM446" s="61">
        <f t="shared" si="151"/>
        <v>1083.254129526249</v>
      </c>
      <c r="AN446" s="63">
        <f t="shared" si="138"/>
        <v>0.15563392142436872</v>
      </c>
      <c r="AQ446" s="147"/>
    </row>
    <row r="447" spans="1:43">
      <c r="A447" s="10" t="str">
        <f>'Input - Bookings'!A447</f>
        <v>10-27</v>
      </c>
      <c r="B447" s="11" t="str">
        <f>'Input - Bookings'!C447</f>
        <v>P</v>
      </c>
      <c r="C447" s="11" t="str">
        <f>'Input - Bookings'!H447</f>
        <v>AU</v>
      </c>
      <c r="D447" s="24" t="str">
        <f>'Input - Bookings'!E447</f>
        <v>065</v>
      </c>
      <c r="E447" s="24" t="str">
        <f>'Input - Bookings'!G447</f>
        <v>ADAPT-A-LIFT GROUP (NSW)</v>
      </c>
      <c r="F447" s="146" t="str">
        <f>'Input - Bookings'!I447</f>
        <v>H68604</v>
      </c>
      <c r="G447" s="24" t="str">
        <f>'Input - Bookings'!L447</f>
        <v>A6W9</v>
      </c>
      <c r="H447" s="24" t="str">
        <f>'Input - Bookings'!M447</f>
        <v>PC1.5</v>
      </c>
      <c r="I447" s="24" t="str">
        <f>'Input - Bookings'!B447</f>
        <v>AUD</v>
      </c>
      <c r="J447" s="13" t="str">
        <f>IF(I447="USD",INDEX('AP Plants'!A:A,MATCH(G447,'AP Plants'!D:D,0)),INDEX('Australia Plants'!A:A,MATCH(G447,'Australia Plants'!D:D,0)))</f>
        <v>Staxx</v>
      </c>
      <c r="K447" s="73">
        <v>1</v>
      </c>
      <c r="L447" s="97">
        <v>2140</v>
      </c>
      <c r="M447" s="97">
        <v>1282.92</v>
      </c>
      <c r="N447" s="99">
        <v>0.15563392142436872</v>
      </c>
      <c r="O447" s="25">
        <f t="shared" si="144"/>
        <v>0.40050467289719627</v>
      </c>
      <c r="P447" s="14">
        <f>IFERROR(IF(OR(B447&amp;C447="PAU",B447&amp;C447="AIN"),VLOOKUP(B447&amp;C447&amp;G447,#REF!,8,0),VLOOKUP(B447&amp;G447,#REF!,8,0)),0)</f>
        <v>0</v>
      </c>
      <c r="Q447" s="15">
        <f t="shared" si="145"/>
        <v>0.15563392142436872</v>
      </c>
      <c r="R447" s="16" t="str">
        <f t="shared" si="146"/>
        <v>AOP</v>
      </c>
      <c r="S447" s="17">
        <f t="shared" si="140"/>
        <v>199.66587047375111</v>
      </c>
      <c r="T447" s="18" t="e">
        <f t="shared" si="147"/>
        <v>#DIV/0!</v>
      </c>
      <c r="U447" s="23" t="e">
        <f t="shared" si="136"/>
        <v>#DIV/0!</v>
      </c>
      <c r="Y447" s="8" t="str">
        <f t="shared" si="148"/>
        <v>PAUH68604PC1.5</v>
      </c>
      <c r="Z447" s="8" t="str">
        <f>IF(Y447='Input - Bookings'!Q680,"OK","Check")</f>
        <v>Check</v>
      </c>
      <c r="AA447" s="118"/>
      <c r="AB447" s="103"/>
      <c r="AC447" s="103"/>
      <c r="AD447" s="100">
        <f t="shared" si="150"/>
        <v>641.02582576834698</v>
      </c>
      <c r="AE447" s="100"/>
      <c r="AF447" s="8" t="str">
        <f t="array" ref="AF447">_xlfn.XLOOKUP($G447,'AP Plants'!D:D,'AP Plants'!B:B)</f>
        <v>Class 3</v>
      </c>
      <c r="AG447" s="102">
        <f>AD447*'Currency &amp; Conversion'!$L$6</f>
        <v>954.61565973422239</v>
      </c>
      <c r="AH447" s="102"/>
      <c r="AI447" s="44">
        <v>1.4999999999999999E-2</v>
      </c>
      <c r="AJ447" s="15">
        <f>_xlfn.XLOOKUP($AF447,Warranty!B:B,Warranty!E:E)</f>
        <v>1.4999999999999999E-2</v>
      </c>
      <c r="AK447" s="8">
        <f>IF($I447="AUD",VLOOKUP(RIGHT('Wk - Margins'!$G447,3),'AU Freight'!C:G,5,0),0)</f>
        <v>100</v>
      </c>
      <c r="AL447" s="15">
        <f t="shared" si="137"/>
        <v>0</v>
      </c>
      <c r="AM447" s="61">
        <f t="shared" si="151"/>
        <v>1083.254129526249</v>
      </c>
      <c r="AN447" s="63">
        <f t="shared" si="138"/>
        <v>0.15563392142436872</v>
      </c>
      <c r="AQ447" s="147"/>
    </row>
    <row r="448" spans="1:43">
      <c r="A448" s="10" t="str">
        <f>'Input - Bookings'!A448</f>
        <v>10-27</v>
      </c>
      <c r="B448" s="11" t="str">
        <f>'Input - Bookings'!C448</f>
        <v>P</v>
      </c>
      <c r="C448" s="11" t="str">
        <f>'Input - Bookings'!H448</f>
        <v>AU</v>
      </c>
      <c r="D448" s="24" t="str">
        <f>'Input - Bookings'!E448</f>
        <v>065</v>
      </c>
      <c r="E448" s="24" t="str">
        <f>'Input - Bookings'!G448</f>
        <v>ADAPT-A-LIFT GROUP (NSW)</v>
      </c>
      <c r="F448" s="146" t="str">
        <f>'Input - Bookings'!I448</f>
        <v>H68605</v>
      </c>
      <c r="G448" s="24" t="str">
        <f>'Input - Bookings'!L448</f>
        <v>A6W9</v>
      </c>
      <c r="H448" s="24" t="str">
        <f>'Input - Bookings'!M448</f>
        <v>PC1.5</v>
      </c>
      <c r="I448" s="24" t="str">
        <f>'Input - Bookings'!B448</f>
        <v>AUD</v>
      </c>
      <c r="J448" s="13" t="str">
        <f>IF(I448="USD",INDEX('AP Plants'!A:A,MATCH(G448,'AP Plants'!D:D,0)),INDEX('Australia Plants'!A:A,MATCH(G448,'Australia Plants'!D:D,0)))</f>
        <v>Staxx</v>
      </c>
      <c r="K448" s="73">
        <v>1</v>
      </c>
      <c r="L448" s="97">
        <v>2140</v>
      </c>
      <c r="M448" s="97">
        <v>1282.92</v>
      </c>
      <c r="N448" s="99">
        <v>0.15563392142436872</v>
      </c>
      <c r="O448" s="25">
        <f t="shared" si="144"/>
        <v>0.40050467289719627</v>
      </c>
      <c r="P448" s="14">
        <f>IFERROR(IF(OR(B448&amp;C448="PAU",B448&amp;C448="AIN"),VLOOKUP(B448&amp;C448&amp;G448,#REF!,8,0),VLOOKUP(B448&amp;G448,#REF!,8,0)),0)</f>
        <v>0</v>
      </c>
      <c r="Q448" s="15">
        <f t="shared" si="145"/>
        <v>0.15563392142436872</v>
      </c>
      <c r="R448" s="16" t="str">
        <f t="shared" si="146"/>
        <v>AOP</v>
      </c>
      <c r="S448" s="17">
        <f t="shared" si="140"/>
        <v>199.66587047375111</v>
      </c>
      <c r="T448" s="18" t="e">
        <f t="shared" si="147"/>
        <v>#DIV/0!</v>
      </c>
      <c r="U448" s="23" t="e">
        <f t="shared" si="136"/>
        <v>#DIV/0!</v>
      </c>
      <c r="Y448" s="8" t="str">
        <f t="shared" si="148"/>
        <v>PAUH68605PC1.5</v>
      </c>
      <c r="Z448" s="8" t="str">
        <f>IF(Y448='Input - Bookings'!Q681,"OK","Check")</f>
        <v>Check</v>
      </c>
      <c r="AA448" s="118"/>
      <c r="AB448" s="103"/>
      <c r="AC448" s="103"/>
      <c r="AD448" s="100">
        <f t="shared" si="150"/>
        <v>641.02582576834698</v>
      </c>
      <c r="AE448" s="100"/>
      <c r="AF448" s="8" t="str">
        <f t="array" ref="AF448">_xlfn.XLOOKUP($G448,'AP Plants'!D:D,'AP Plants'!B:B)</f>
        <v>Class 3</v>
      </c>
      <c r="AG448" s="102">
        <f>AD448*'Currency &amp; Conversion'!$L$6</f>
        <v>954.61565973422239</v>
      </c>
      <c r="AH448" s="102"/>
      <c r="AI448" s="44">
        <v>1.4999999999999999E-2</v>
      </c>
      <c r="AJ448" s="15">
        <f>_xlfn.XLOOKUP($AF448,Warranty!B:B,Warranty!E:E)</f>
        <v>1.4999999999999999E-2</v>
      </c>
      <c r="AK448" s="8">
        <f>IF($I448="AUD",VLOOKUP(RIGHT('Wk - Margins'!$G448,3),'AU Freight'!C:G,5,0),0)</f>
        <v>100</v>
      </c>
      <c r="AL448" s="15">
        <f t="shared" si="137"/>
        <v>0</v>
      </c>
      <c r="AM448" s="61">
        <f t="shared" si="151"/>
        <v>1083.254129526249</v>
      </c>
      <c r="AN448" s="63">
        <f t="shared" si="138"/>
        <v>0.15563392142436872</v>
      </c>
      <c r="AQ448" s="147"/>
    </row>
    <row r="449" spans="1:43">
      <c r="A449" s="10" t="str">
        <f>'Input - Bookings'!A449</f>
        <v>10-27</v>
      </c>
      <c r="B449" s="11" t="str">
        <f>'Input - Bookings'!C449</f>
        <v>P</v>
      </c>
      <c r="C449" s="11" t="str">
        <f>'Input - Bookings'!H449</f>
        <v>AU</v>
      </c>
      <c r="D449" s="24" t="str">
        <f>'Input - Bookings'!E449</f>
        <v>065</v>
      </c>
      <c r="E449" s="24" t="str">
        <f>'Input - Bookings'!G449</f>
        <v>ADAPT-A-LIFT GROUP (NSW)</v>
      </c>
      <c r="F449" s="146" t="str">
        <f>'Input - Bookings'!I449</f>
        <v>H68606</v>
      </c>
      <c r="G449" s="24" t="str">
        <f>'Input - Bookings'!L449</f>
        <v>A6W9</v>
      </c>
      <c r="H449" s="24" t="str">
        <f>'Input - Bookings'!M449</f>
        <v>PC1.5</v>
      </c>
      <c r="I449" s="24" t="str">
        <f>'Input - Bookings'!B449</f>
        <v>AUD</v>
      </c>
      <c r="J449" s="13" t="str">
        <f>IF(I449="USD",INDEX('AP Plants'!A:A,MATCH(G449,'AP Plants'!D:D,0)),INDEX('Australia Plants'!A:A,MATCH(G449,'Australia Plants'!D:D,0)))</f>
        <v>Staxx</v>
      </c>
      <c r="K449" s="73">
        <v>1</v>
      </c>
      <c r="L449" s="97">
        <v>2140</v>
      </c>
      <c r="M449" s="97">
        <v>1282.92</v>
      </c>
      <c r="N449" s="99">
        <v>0.15563392142436872</v>
      </c>
      <c r="O449" s="25">
        <f t="shared" si="144"/>
        <v>0.40050467289719627</v>
      </c>
      <c r="P449" s="14">
        <f>IFERROR(IF(OR(B449&amp;C449="PAU",B449&amp;C449="AIN"),VLOOKUP(B449&amp;C449&amp;G449,#REF!,8,0),VLOOKUP(B449&amp;G449,#REF!,8,0)),0)</f>
        <v>0</v>
      </c>
      <c r="Q449" s="15">
        <f t="shared" si="145"/>
        <v>0.15563392142436872</v>
      </c>
      <c r="R449" s="16" t="str">
        <f t="shared" si="146"/>
        <v>AOP</v>
      </c>
      <c r="S449" s="17">
        <f t="shared" si="140"/>
        <v>199.66587047375111</v>
      </c>
      <c r="T449" s="18" t="e">
        <f t="shared" si="147"/>
        <v>#DIV/0!</v>
      </c>
      <c r="U449" s="23" t="e">
        <f t="shared" si="136"/>
        <v>#DIV/0!</v>
      </c>
      <c r="Y449" s="8" t="str">
        <f t="shared" si="148"/>
        <v>PAUH68606PC1.5</v>
      </c>
      <c r="Z449" s="8" t="str">
        <f>IF(Y449='Input - Bookings'!Q682,"OK","Check")</f>
        <v>Check</v>
      </c>
      <c r="AA449" s="118"/>
      <c r="AB449" s="103"/>
      <c r="AC449" s="103"/>
      <c r="AD449" s="100">
        <f t="shared" si="150"/>
        <v>641.02582576834698</v>
      </c>
      <c r="AE449" s="100"/>
      <c r="AF449" s="8" t="str">
        <f t="array" ref="AF449">_xlfn.XLOOKUP($G449,'AP Plants'!D:D,'AP Plants'!B:B)</f>
        <v>Class 3</v>
      </c>
      <c r="AG449" s="102">
        <f>AD449*'Currency &amp; Conversion'!$L$6</f>
        <v>954.61565973422239</v>
      </c>
      <c r="AH449" s="102"/>
      <c r="AI449" s="44">
        <v>1.4999999999999999E-2</v>
      </c>
      <c r="AJ449" s="15">
        <f>_xlfn.XLOOKUP($AF449,Warranty!B:B,Warranty!E:E)</f>
        <v>1.4999999999999999E-2</v>
      </c>
      <c r="AK449" s="8">
        <f>IF($I449="AUD",VLOOKUP(RIGHT('Wk - Margins'!$G449,3),'AU Freight'!C:G,5,0),0)</f>
        <v>100</v>
      </c>
      <c r="AL449" s="15">
        <f t="shared" si="137"/>
        <v>0</v>
      </c>
      <c r="AM449" s="61">
        <f t="shared" si="151"/>
        <v>1083.254129526249</v>
      </c>
      <c r="AN449" s="63">
        <f t="shared" si="138"/>
        <v>0.15563392142436872</v>
      </c>
      <c r="AQ449" s="147"/>
    </row>
    <row r="450" spans="1:43">
      <c r="A450" s="10" t="str">
        <f>'Input - Bookings'!A450</f>
        <v>10-27</v>
      </c>
      <c r="B450" s="11" t="str">
        <f>'Input - Bookings'!C450</f>
        <v>P</v>
      </c>
      <c r="C450" s="11" t="str">
        <f>'Input - Bookings'!H450</f>
        <v>AU</v>
      </c>
      <c r="D450" s="24" t="str">
        <f>'Input - Bookings'!E450</f>
        <v>065</v>
      </c>
      <c r="E450" s="24" t="str">
        <f>'Input - Bookings'!G450</f>
        <v>ADAPT-A-LIFT GROUP (NSW)</v>
      </c>
      <c r="F450" s="146" t="str">
        <f>'Input - Bookings'!I450</f>
        <v>H68607</v>
      </c>
      <c r="G450" s="24" t="str">
        <f>'Input - Bookings'!L450</f>
        <v>A6W9</v>
      </c>
      <c r="H450" s="24" t="str">
        <f>'Input - Bookings'!M450</f>
        <v>PC1.5</v>
      </c>
      <c r="I450" s="24" t="str">
        <f>'Input - Bookings'!B450</f>
        <v>AUD</v>
      </c>
      <c r="J450" s="13" t="str">
        <f>IF(I450="USD",INDEX('AP Plants'!A:A,MATCH(G450,'AP Plants'!D:D,0)),INDEX('Australia Plants'!A:A,MATCH(G450,'Australia Plants'!D:D,0)))</f>
        <v>Staxx</v>
      </c>
      <c r="K450" s="73">
        <v>1</v>
      </c>
      <c r="L450" s="97">
        <v>2140</v>
      </c>
      <c r="M450" s="97">
        <v>1282.92</v>
      </c>
      <c r="N450" s="99">
        <v>0.15563392142436872</v>
      </c>
      <c r="O450" s="25">
        <f t="shared" si="144"/>
        <v>0.40050467289719627</v>
      </c>
      <c r="P450" s="14">
        <f>IFERROR(IF(OR(B450&amp;C450="PAU",B450&amp;C450="AIN"),VLOOKUP(B450&amp;C450&amp;G450,#REF!,8,0),VLOOKUP(B450&amp;G450,#REF!,8,0)),0)</f>
        <v>0</v>
      </c>
      <c r="Q450" s="15">
        <f t="shared" si="145"/>
        <v>0.15563392142436872</v>
      </c>
      <c r="R450" s="16" t="str">
        <f t="shared" si="146"/>
        <v>AOP</v>
      </c>
      <c r="S450" s="17">
        <f t="shared" si="140"/>
        <v>199.66587047375111</v>
      </c>
      <c r="T450" s="18" t="e">
        <f t="shared" si="147"/>
        <v>#DIV/0!</v>
      </c>
      <c r="U450" s="23" t="e">
        <f t="shared" si="136"/>
        <v>#DIV/0!</v>
      </c>
      <c r="Y450" s="8" t="str">
        <f t="shared" si="148"/>
        <v>PAUH68607PC1.5</v>
      </c>
      <c r="Z450" s="8" t="str">
        <f>IF(Y450='Input - Bookings'!Q683,"OK","Check")</f>
        <v>Check</v>
      </c>
      <c r="AA450" s="118"/>
      <c r="AB450" s="103"/>
      <c r="AC450" s="103"/>
      <c r="AD450" s="100">
        <f t="shared" si="150"/>
        <v>641.02582576834698</v>
      </c>
      <c r="AE450" s="100"/>
      <c r="AF450" s="8" t="str">
        <f t="array" ref="AF450">_xlfn.XLOOKUP($G450,'AP Plants'!D:D,'AP Plants'!B:B)</f>
        <v>Class 3</v>
      </c>
      <c r="AG450" s="102">
        <f>AD450*'Currency &amp; Conversion'!$L$6</f>
        <v>954.61565973422239</v>
      </c>
      <c r="AH450" s="102"/>
      <c r="AI450" s="44">
        <v>1.4999999999999999E-2</v>
      </c>
      <c r="AJ450" s="15">
        <f>_xlfn.XLOOKUP($AF450,Warranty!B:B,Warranty!E:E)</f>
        <v>1.4999999999999999E-2</v>
      </c>
      <c r="AK450" s="8">
        <f>IF($I450="AUD",VLOOKUP(RIGHT('Wk - Margins'!$G450,3),'AU Freight'!C:G,5,0),0)</f>
        <v>100</v>
      </c>
      <c r="AL450" s="15">
        <f t="shared" si="137"/>
        <v>0</v>
      </c>
      <c r="AM450" s="61">
        <f t="shared" si="151"/>
        <v>1083.254129526249</v>
      </c>
      <c r="AN450" s="63">
        <f t="shared" si="138"/>
        <v>0.15563392142436872</v>
      </c>
      <c r="AQ450" s="147"/>
    </row>
    <row r="451" spans="1:43">
      <c r="A451" s="10" t="str">
        <f>'Input - Bookings'!A451</f>
        <v>10-27</v>
      </c>
      <c r="B451" s="11" t="str">
        <f>'Input - Bookings'!C451</f>
        <v>P</v>
      </c>
      <c r="C451" s="11" t="str">
        <f>'Input - Bookings'!H451</f>
        <v>AU</v>
      </c>
      <c r="D451" s="24" t="str">
        <f>'Input - Bookings'!E451</f>
        <v>065</v>
      </c>
      <c r="E451" s="24" t="str">
        <f>'Input - Bookings'!G451</f>
        <v>ADAPT-A-LIFT GROUP (QLD)</v>
      </c>
      <c r="F451" s="146" t="str">
        <f>'Input - Bookings'!I451</f>
        <v>H68528</v>
      </c>
      <c r="G451" s="24" t="str">
        <f>'Input - Bookings'!L451</f>
        <v>A6W9</v>
      </c>
      <c r="H451" s="24" t="str">
        <f>'Input - Bookings'!M451</f>
        <v>PC1.5</v>
      </c>
      <c r="I451" s="24" t="str">
        <f>'Input - Bookings'!B451</f>
        <v>AUD</v>
      </c>
      <c r="J451" s="13" t="str">
        <f>IF(I451="USD",INDEX('AP Plants'!A:A,MATCH(G451,'AP Plants'!D:D,0)),INDEX('Australia Plants'!A:A,MATCH(G451,'Australia Plants'!D:D,0)))</f>
        <v>Staxx</v>
      </c>
      <c r="K451" s="73">
        <v>1</v>
      </c>
      <c r="L451" s="97">
        <v>2140</v>
      </c>
      <c r="M451" s="97">
        <v>1282.92</v>
      </c>
      <c r="N451" s="99">
        <v>0.15563392142436872</v>
      </c>
      <c r="O451" s="25">
        <f t="shared" si="144"/>
        <v>0.40050467289719627</v>
      </c>
      <c r="P451" s="14">
        <f>IFERROR(IF(OR(B451&amp;C451="PAU",B451&amp;C451="AIN"),VLOOKUP(B451&amp;C451&amp;G451,#REF!,8,0),VLOOKUP(B451&amp;G451,#REF!,8,0)),0)</f>
        <v>0</v>
      </c>
      <c r="Q451" s="15">
        <f t="shared" si="145"/>
        <v>0.15563392142436872</v>
      </c>
      <c r="R451" s="16" t="str">
        <f t="shared" si="146"/>
        <v>AOP</v>
      </c>
      <c r="S451" s="17">
        <f t="shared" si="140"/>
        <v>199.66587047375111</v>
      </c>
      <c r="T451" s="18" t="e">
        <f t="shared" si="147"/>
        <v>#DIV/0!</v>
      </c>
      <c r="U451" s="23" t="e">
        <f t="shared" ref="U451:U514" si="152">IF(I451="USD",M451,M451/$X$6)</f>
        <v>#DIV/0!</v>
      </c>
      <c r="Y451" s="8" t="str">
        <f t="shared" si="148"/>
        <v>PAUH68528PC1.5</v>
      </c>
      <c r="Z451" s="8" t="str">
        <f>IF(Y451='Input - Bookings'!Q684,"OK","Check")</f>
        <v>Check</v>
      </c>
      <c r="AA451" s="118"/>
      <c r="AB451" s="103"/>
      <c r="AC451" s="103"/>
      <c r="AD451" s="100">
        <f t="shared" si="150"/>
        <v>641.02582576834698</v>
      </c>
      <c r="AE451" s="98"/>
      <c r="AF451" s="8" t="str">
        <f t="array" ref="AF451">_xlfn.XLOOKUP($G451,'AP Plants'!D:D,'AP Plants'!B:B)</f>
        <v>Class 3</v>
      </c>
      <c r="AG451" s="102">
        <f>AD451*'Currency &amp; Conversion'!$L$6</f>
        <v>954.61565973422239</v>
      </c>
      <c r="AH451" s="102"/>
      <c r="AI451" s="44">
        <v>1.4999999999999999E-2</v>
      </c>
      <c r="AJ451" s="15">
        <f>_xlfn.XLOOKUP($AF451,Warranty!B:B,Warranty!E:E)</f>
        <v>1.4999999999999999E-2</v>
      </c>
      <c r="AK451" s="8">
        <f>IF($I451="AUD",VLOOKUP(RIGHT('Wk - Margins'!$G451,3),'AU Freight'!C:G,5,0),0)</f>
        <v>100</v>
      </c>
      <c r="AL451" s="15">
        <f t="shared" ref="AL451:AL514" si="153">IF(AND($I451="AUD",$AF451="Class 5 BT"),5%,0%)</f>
        <v>0</v>
      </c>
      <c r="AM451" s="61">
        <f t="shared" si="151"/>
        <v>1083.254129526249</v>
      </c>
      <c r="AN451" s="63">
        <f t="shared" ref="AN451:AN514" si="154">1-AM451/M451</f>
        <v>0.15563392142436872</v>
      </c>
      <c r="AQ451" s="147"/>
    </row>
    <row r="452" spans="1:43">
      <c r="A452" s="10" t="str">
        <f>'Input - Bookings'!A452</f>
        <v>10-27</v>
      </c>
      <c r="B452" s="11" t="str">
        <f>'Input - Bookings'!C452</f>
        <v>P</v>
      </c>
      <c r="C452" s="11" t="str">
        <f>'Input - Bookings'!H452</f>
        <v>AU</v>
      </c>
      <c r="D452" s="24" t="str">
        <f>'Input - Bookings'!E452</f>
        <v>065</v>
      </c>
      <c r="E452" s="24" t="str">
        <f>'Input - Bookings'!G452</f>
        <v>ADAPT-A-LIFT GROUP (QLD)</v>
      </c>
      <c r="F452" s="146" t="str">
        <f>'Input - Bookings'!I452</f>
        <v>H68529</v>
      </c>
      <c r="G452" s="24" t="str">
        <f>'Input - Bookings'!L452</f>
        <v>A6W9</v>
      </c>
      <c r="H452" s="24" t="str">
        <f>'Input - Bookings'!M452</f>
        <v>PC1.5</v>
      </c>
      <c r="I452" s="24" t="str">
        <f>'Input - Bookings'!B452</f>
        <v>AUD</v>
      </c>
      <c r="J452" s="13" t="str">
        <f>IF(I452="USD",INDEX('AP Plants'!A:A,MATCH(G452,'AP Plants'!D:D,0)),INDEX('Australia Plants'!A:A,MATCH(G452,'Australia Plants'!D:D,0)))</f>
        <v>Staxx</v>
      </c>
      <c r="K452" s="73">
        <v>1</v>
      </c>
      <c r="L452" s="97">
        <v>2140</v>
      </c>
      <c r="M452" s="97">
        <v>1282.92</v>
      </c>
      <c r="N452" s="99">
        <v>0.15563392142436872</v>
      </c>
      <c r="O452" s="25">
        <f t="shared" si="144"/>
        <v>0.40050467289719627</v>
      </c>
      <c r="P452" s="14">
        <f>IFERROR(IF(OR(B452&amp;C452="PAU",B452&amp;C452="AIN"),VLOOKUP(B452&amp;C452&amp;G452,#REF!,8,0),VLOOKUP(B452&amp;G452,#REF!,8,0)),0)</f>
        <v>0</v>
      </c>
      <c r="Q452" s="15">
        <f t="shared" si="145"/>
        <v>0.15563392142436872</v>
      </c>
      <c r="R452" s="16" t="str">
        <f t="shared" si="146"/>
        <v>AOP</v>
      </c>
      <c r="S452" s="17">
        <f t="shared" si="140"/>
        <v>199.66587047375111</v>
      </c>
      <c r="T452" s="18" t="e">
        <f t="shared" si="147"/>
        <v>#DIV/0!</v>
      </c>
      <c r="U452" s="23" t="e">
        <f t="shared" si="152"/>
        <v>#DIV/0!</v>
      </c>
      <c r="Y452" s="8" t="str">
        <f t="shared" si="148"/>
        <v>PAUH68529PC1.5</v>
      </c>
      <c r="Z452" s="8" t="str">
        <f>IF(Y452='Input - Bookings'!Q685,"OK","Check")</f>
        <v>Check</v>
      </c>
      <c r="AA452" s="118"/>
      <c r="AB452" s="103"/>
      <c r="AC452" s="103"/>
      <c r="AD452" s="100">
        <f t="shared" si="150"/>
        <v>641.02582576834698</v>
      </c>
      <c r="AE452" s="100"/>
      <c r="AF452" s="8" t="str">
        <f t="array" ref="AF452">_xlfn.XLOOKUP($G452,'AP Plants'!D:D,'AP Plants'!B:B)</f>
        <v>Class 3</v>
      </c>
      <c r="AG452" s="102">
        <f>AD452*'Currency &amp; Conversion'!$L$6</f>
        <v>954.61565973422239</v>
      </c>
      <c r="AH452" s="102"/>
      <c r="AI452" s="44">
        <v>1.4999999999999999E-2</v>
      </c>
      <c r="AJ452" s="15">
        <f>_xlfn.XLOOKUP($AF452,Warranty!B:B,Warranty!E:E)</f>
        <v>1.4999999999999999E-2</v>
      </c>
      <c r="AK452" s="8">
        <f>IF($I452="AUD",VLOOKUP(RIGHT('Wk - Margins'!$G452,3),'AU Freight'!C:G,5,0),0)</f>
        <v>100</v>
      </c>
      <c r="AL452" s="15">
        <f t="shared" si="153"/>
        <v>0</v>
      </c>
      <c r="AM452" s="61">
        <f t="shared" si="151"/>
        <v>1083.254129526249</v>
      </c>
      <c r="AN452" s="63">
        <f t="shared" si="154"/>
        <v>0.15563392142436872</v>
      </c>
      <c r="AQ452" s="147"/>
    </row>
    <row r="453" spans="1:43">
      <c r="A453" s="10" t="str">
        <f>'Input - Bookings'!A453</f>
        <v>10-27</v>
      </c>
      <c r="B453" s="11" t="str">
        <f>'Input - Bookings'!C453</f>
        <v>P</v>
      </c>
      <c r="C453" s="11" t="str">
        <f>'Input - Bookings'!H453</f>
        <v>AU</v>
      </c>
      <c r="D453" s="24" t="str">
        <f>'Input - Bookings'!E453</f>
        <v>065</v>
      </c>
      <c r="E453" s="24" t="str">
        <f>'Input - Bookings'!G453</f>
        <v>ADAPT-A-LIFT GROUP (QLD)</v>
      </c>
      <c r="F453" s="146" t="str">
        <f>'Input - Bookings'!I453</f>
        <v>H68530</v>
      </c>
      <c r="G453" s="24" t="str">
        <f>'Input - Bookings'!L453</f>
        <v>A6W9</v>
      </c>
      <c r="H453" s="24" t="str">
        <f>'Input - Bookings'!M453</f>
        <v>PC1.5</v>
      </c>
      <c r="I453" s="24" t="str">
        <f>'Input - Bookings'!B453</f>
        <v>AUD</v>
      </c>
      <c r="J453" s="13" t="str">
        <f>IF(I453="USD",INDEX('AP Plants'!A:A,MATCH(G453,'AP Plants'!D:D,0)),INDEX('Australia Plants'!A:A,MATCH(G453,'Australia Plants'!D:D,0)))</f>
        <v>Staxx</v>
      </c>
      <c r="K453" s="73">
        <v>1</v>
      </c>
      <c r="L453" s="97">
        <v>2140</v>
      </c>
      <c r="M453" s="97">
        <v>1282.92</v>
      </c>
      <c r="N453" s="99">
        <v>0.15563392142436872</v>
      </c>
      <c r="O453" s="25">
        <f t="shared" si="144"/>
        <v>0.40050467289719627</v>
      </c>
      <c r="P453" s="14">
        <f>IFERROR(IF(OR(B453&amp;C453="PAU",B453&amp;C453="AIN"),VLOOKUP(B453&amp;C453&amp;G453,#REF!,8,0),VLOOKUP(B453&amp;G453,#REF!,8,0)),0)</f>
        <v>0</v>
      </c>
      <c r="Q453" s="15">
        <f t="shared" si="145"/>
        <v>0.15563392142436872</v>
      </c>
      <c r="R453" s="16" t="str">
        <f t="shared" si="146"/>
        <v>AOP</v>
      </c>
      <c r="S453" s="17">
        <f t="shared" si="140"/>
        <v>199.66587047375111</v>
      </c>
      <c r="T453" s="18" t="e">
        <f t="shared" si="147"/>
        <v>#DIV/0!</v>
      </c>
      <c r="U453" s="23" t="e">
        <f t="shared" si="152"/>
        <v>#DIV/0!</v>
      </c>
      <c r="Y453" s="8" t="str">
        <f t="shared" si="148"/>
        <v>PAUH68530PC1.5</v>
      </c>
      <c r="Z453" s="8" t="str">
        <f>IF(Y453='Input - Bookings'!Q686,"OK","Check")</f>
        <v>Check</v>
      </c>
      <c r="AA453" s="118"/>
      <c r="AB453" s="103"/>
      <c r="AC453" s="103"/>
      <c r="AD453" s="100">
        <f t="shared" si="150"/>
        <v>641.02582576834698</v>
      </c>
      <c r="AE453" s="98"/>
      <c r="AF453" s="8" t="str">
        <f t="array" ref="AF453">_xlfn.XLOOKUP($G453,'AP Plants'!D:D,'AP Plants'!B:B)</f>
        <v>Class 3</v>
      </c>
      <c r="AG453" s="102">
        <f>AD453*'Currency &amp; Conversion'!$L$6</f>
        <v>954.61565973422239</v>
      </c>
      <c r="AH453" s="102"/>
      <c r="AI453" s="44">
        <v>1.4999999999999999E-2</v>
      </c>
      <c r="AJ453" s="15">
        <f>_xlfn.XLOOKUP($AF453,Warranty!B:B,Warranty!E:E)</f>
        <v>1.4999999999999999E-2</v>
      </c>
      <c r="AK453" s="8">
        <f>IF($I453="AUD",VLOOKUP(RIGHT('Wk - Margins'!$G453,3),'AU Freight'!C:G,5,0),0)</f>
        <v>100</v>
      </c>
      <c r="AL453" s="15">
        <f t="shared" si="153"/>
        <v>0</v>
      </c>
      <c r="AM453" s="61">
        <f t="shared" si="151"/>
        <v>1083.254129526249</v>
      </c>
      <c r="AN453" s="63">
        <f t="shared" si="154"/>
        <v>0.15563392142436872</v>
      </c>
      <c r="AQ453" s="147"/>
    </row>
    <row r="454" spans="1:43">
      <c r="A454" s="10" t="str">
        <f>'Input - Bookings'!A454</f>
        <v>10-27</v>
      </c>
      <c r="B454" s="11" t="str">
        <f>'Input - Bookings'!C454</f>
        <v>P</v>
      </c>
      <c r="C454" s="11" t="str">
        <f>'Input - Bookings'!H454</f>
        <v>AU</v>
      </c>
      <c r="D454" s="24" t="str">
        <f>'Input - Bookings'!E454</f>
        <v>065</v>
      </c>
      <c r="E454" s="24" t="str">
        <f>'Input - Bookings'!G454</f>
        <v>ADAPT-A-LIFT GROUP (QLD)</v>
      </c>
      <c r="F454" s="146" t="str">
        <f>'Input - Bookings'!I454</f>
        <v>H68531</v>
      </c>
      <c r="G454" s="24" t="str">
        <f>'Input - Bookings'!L454</f>
        <v>A6W9</v>
      </c>
      <c r="H454" s="24" t="str">
        <f>'Input - Bookings'!M454</f>
        <v>PC1.5</v>
      </c>
      <c r="I454" s="24" t="str">
        <f>'Input - Bookings'!B454</f>
        <v>AUD</v>
      </c>
      <c r="J454" s="13" t="str">
        <f>IF(I454="USD",INDEX('AP Plants'!A:A,MATCH(G454,'AP Plants'!D:D,0)),INDEX('Australia Plants'!A:A,MATCH(G454,'Australia Plants'!D:D,0)))</f>
        <v>Staxx</v>
      </c>
      <c r="K454" s="73">
        <v>1</v>
      </c>
      <c r="L454" s="97">
        <v>2140</v>
      </c>
      <c r="M454" s="97">
        <v>1282.92</v>
      </c>
      <c r="N454" s="99">
        <v>0.15563392142436872</v>
      </c>
      <c r="O454" s="25">
        <f t="shared" si="144"/>
        <v>0.40050467289719627</v>
      </c>
      <c r="P454" s="14">
        <f>IFERROR(IF(OR(B454&amp;C454="PAU",B454&amp;C454="AIN"),VLOOKUP(B454&amp;C454&amp;G454,#REF!,8,0),VLOOKUP(B454&amp;G454,#REF!,8,0)),0)</f>
        <v>0</v>
      </c>
      <c r="Q454" s="15">
        <f t="shared" si="145"/>
        <v>0.15563392142436872</v>
      </c>
      <c r="R454" s="16" t="str">
        <f t="shared" si="146"/>
        <v>AOP</v>
      </c>
      <c r="S454" s="17">
        <f t="shared" si="140"/>
        <v>199.66587047375111</v>
      </c>
      <c r="T454" s="18" t="e">
        <f t="shared" si="147"/>
        <v>#DIV/0!</v>
      </c>
      <c r="U454" s="23" t="e">
        <f t="shared" si="152"/>
        <v>#DIV/0!</v>
      </c>
      <c r="Y454" s="8" t="str">
        <f t="shared" si="148"/>
        <v>PAUH68531PC1.5</v>
      </c>
      <c r="Z454" s="8" t="str">
        <f>IF(Y454='Input - Bookings'!Q687,"OK","Check")</f>
        <v>Check</v>
      </c>
      <c r="AA454" s="118"/>
      <c r="AB454" s="103"/>
      <c r="AC454" s="103"/>
      <c r="AD454" s="100">
        <f t="shared" si="150"/>
        <v>641.02582576834698</v>
      </c>
      <c r="AE454" s="98"/>
      <c r="AF454" s="8" t="str">
        <f t="array" ref="AF454">_xlfn.XLOOKUP($G454,'AP Plants'!D:D,'AP Plants'!B:B)</f>
        <v>Class 3</v>
      </c>
      <c r="AG454" s="102">
        <f>AD454*'Currency &amp; Conversion'!$L$6</f>
        <v>954.61565973422239</v>
      </c>
      <c r="AH454" s="102"/>
      <c r="AI454" s="44">
        <v>1.4999999999999999E-2</v>
      </c>
      <c r="AJ454" s="15">
        <f>_xlfn.XLOOKUP($AF454,Warranty!B:B,Warranty!E:E)</f>
        <v>1.4999999999999999E-2</v>
      </c>
      <c r="AK454" s="8">
        <f>IF($I454="AUD",VLOOKUP(RIGHT('Wk - Margins'!$G454,3),'AU Freight'!C:G,5,0),0)</f>
        <v>100</v>
      </c>
      <c r="AL454" s="15">
        <f t="shared" si="153"/>
        <v>0</v>
      </c>
      <c r="AM454" s="61">
        <f t="shared" si="151"/>
        <v>1083.254129526249</v>
      </c>
      <c r="AN454" s="63">
        <f t="shared" si="154"/>
        <v>0.15563392142436872</v>
      </c>
      <c r="AQ454" s="147"/>
    </row>
    <row r="455" spans="1:43">
      <c r="A455" s="10" t="str">
        <f>'Input - Bookings'!A455</f>
        <v>10-27</v>
      </c>
      <c r="B455" s="11" t="str">
        <f>'Input - Bookings'!C455</f>
        <v>P</v>
      </c>
      <c r="C455" s="11" t="str">
        <f>'Input - Bookings'!H455</f>
        <v>AU</v>
      </c>
      <c r="D455" s="24" t="str">
        <f>'Input - Bookings'!E455</f>
        <v>065</v>
      </c>
      <c r="E455" s="24" t="str">
        <f>'Input - Bookings'!G455</f>
        <v>ADAPT-A-LIFT GROUP (QLD)</v>
      </c>
      <c r="F455" s="146" t="str">
        <f>'Input - Bookings'!I455</f>
        <v>H68532</v>
      </c>
      <c r="G455" s="24" t="str">
        <f>'Input - Bookings'!L455</f>
        <v>A6W9</v>
      </c>
      <c r="H455" s="24" t="str">
        <f>'Input - Bookings'!M455</f>
        <v>PC1.5</v>
      </c>
      <c r="I455" s="24" t="str">
        <f>'Input - Bookings'!B455</f>
        <v>AUD</v>
      </c>
      <c r="J455" s="13" t="str">
        <f>IF(I455="USD",INDEX('AP Plants'!A:A,MATCH(G455,'AP Plants'!D:D,0)),INDEX('Australia Plants'!A:A,MATCH(G455,'Australia Plants'!D:D,0)))</f>
        <v>Staxx</v>
      </c>
      <c r="K455" s="73">
        <v>1</v>
      </c>
      <c r="L455" s="97">
        <v>2140</v>
      </c>
      <c r="M455" s="97">
        <v>1282.92</v>
      </c>
      <c r="N455" s="99">
        <v>0.15563392142436872</v>
      </c>
      <c r="O455" s="25">
        <f t="shared" si="144"/>
        <v>0.40050467289719627</v>
      </c>
      <c r="P455" s="14">
        <f>IFERROR(IF(OR(B455&amp;C455="PAU",B455&amp;C455="AIN"),VLOOKUP(B455&amp;C455&amp;G455,#REF!,8,0),VLOOKUP(B455&amp;G455,#REF!,8,0)),0)</f>
        <v>0</v>
      </c>
      <c r="Q455" s="15">
        <f t="shared" si="145"/>
        <v>0.15563392142436872</v>
      </c>
      <c r="R455" s="16" t="str">
        <f t="shared" si="146"/>
        <v>AOP</v>
      </c>
      <c r="S455" s="17">
        <f t="shared" si="140"/>
        <v>199.66587047375111</v>
      </c>
      <c r="T455" s="18" t="e">
        <f t="shared" si="147"/>
        <v>#DIV/0!</v>
      </c>
      <c r="U455" s="23" t="e">
        <f t="shared" si="152"/>
        <v>#DIV/0!</v>
      </c>
      <c r="Y455" s="8" t="str">
        <f t="shared" si="148"/>
        <v>PAUH68532PC1.5</v>
      </c>
      <c r="Z455" s="8" t="str">
        <f>IF(Y455='Input - Bookings'!Q688,"OK","Check")</f>
        <v>Check</v>
      </c>
      <c r="AA455" s="118"/>
      <c r="AB455" s="103"/>
      <c r="AC455" s="71"/>
      <c r="AD455" s="100">
        <f t="shared" si="150"/>
        <v>641.02582576834698</v>
      </c>
      <c r="AE455" s="98"/>
      <c r="AF455" s="8" t="str">
        <f t="array" ref="AF455">_xlfn.XLOOKUP($G455,'AP Plants'!D:D,'AP Plants'!B:B)</f>
        <v>Class 3</v>
      </c>
      <c r="AG455" s="102">
        <f>AD455*'Currency &amp; Conversion'!$L$6</f>
        <v>954.61565973422239</v>
      </c>
      <c r="AH455" s="102"/>
      <c r="AI455" s="44">
        <v>1.4999999999999999E-2</v>
      </c>
      <c r="AJ455" s="15">
        <f>_xlfn.XLOOKUP($AF455,Warranty!B:B,Warranty!E:E)</f>
        <v>1.4999999999999999E-2</v>
      </c>
      <c r="AK455" s="8">
        <f>IF($I455="AUD",VLOOKUP(RIGHT('Wk - Margins'!$G455,3),'AU Freight'!C:G,5,0),0)</f>
        <v>100</v>
      </c>
      <c r="AL455" s="15">
        <f t="shared" si="153"/>
        <v>0</v>
      </c>
      <c r="AM455" s="61">
        <f t="shared" si="151"/>
        <v>1083.254129526249</v>
      </c>
      <c r="AN455" s="63">
        <f t="shared" si="154"/>
        <v>0.15563392142436872</v>
      </c>
      <c r="AQ455" s="147"/>
    </row>
    <row r="456" spans="1:43">
      <c r="A456" s="10" t="str">
        <f>'Input - Bookings'!A456</f>
        <v>10-27</v>
      </c>
      <c r="B456" s="11" t="str">
        <f>'Input - Bookings'!C456</f>
        <v>P</v>
      </c>
      <c r="C456" s="11" t="str">
        <f>'Input - Bookings'!H456</f>
        <v>AU</v>
      </c>
      <c r="D456" s="24" t="str">
        <f>'Input - Bookings'!E456</f>
        <v>065</v>
      </c>
      <c r="E456" s="24" t="str">
        <f>'Input - Bookings'!G456</f>
        <v>ADAPT-A-LIFT GROUP (QLD)</v>
      </c>
      <c r="F456" s="146" t="str">
        <f>'Input - Bookings'!I456</f>
        <v>H68533</v>
      </c>
      <c r="G456" s="24" t="str">
        <f>'Input - Bookings'!L456</f>
        <v>A6W9</v>
      </c>
      <c r="H456" s="24" t="str">
        <f>'Input - Bookings'!M456</f>
        <v>PC1.5</v>
      </c>
      <c r="I456" s="24" t="str">
        <f>'Input - Bookings'!B456</f>
        <v>AUD</v>
      </c>
      <c r="J456" s="13" t="str">
        <f>IF(I456="USD",INDEX('AP Plants'!A:A,MATCH(G456,'AP Plants'!D:D,0)),INDEX('Australia Plants'!A:A,MATCH(G456,'Australia Plants'!D:D,0)))</f>
        <v>Staxx</v>
      </c>
      <c r="K456" s="73">
        <v>1</v>
      </c>
      <c r="L456" s="97">
        <v>2140</v>
      </c>
      <c r="M456" s="97">
        <v>1282.92</v>
      </c>
      <c r="N456" s="99">
        <v>0.15563392142436872</v>
      </c>
      <c r="O456" s="25">
        <f t="shared" si="144"/>
        <v>0.40050467289719627</v>
      </c>
      <c r="P456" s="14">
        <f>IFERROR(IF(OR(B456&amp;C456="PAU",B456&amp;C456="AIN"),VLOOKUP(B456&amp;C456&amp;G456,#REF!,8,0),VLOOKUP(B456&amp;G456,#REF!,8,0)),0)</f>
        <v>0</v>
      </c>
      <c r="Q456" s="15">
        <f t="shared" si="145"/>
        <v>0.15563392142436872</v>
      </c>
      <c r="R456" s="16" t="str">
        <f t="shared" si="146"/>
        <v>AOP</v>
      </c>
      <c r="S456" s="17">
        <f t="shared" si="140"/>
        <v>199.66587047375111</v>
      </c>
      <c r="T456" s="18" t="e">
        <f t="shared" si="147"/>
        <v>#DIV/0!</v>
      </c>
      <c r="U456" s="23" t="e">
        <f t="shared" si="152"/>
        <v>#DIV/0!</v>
      </c>
      <c r="Y456" s="8" t="str">
        <f t="shared" si="148"/>
        <v>PAUH68533PC1.5</v>
      </c>
      <c r="Z456" s="8" t="str">
        <f>IF(Y456='Input - Bookings'!Q689,"OK","Check")</f>
        <v>Check</v>
      </c>
      <c r="AA456" s="118"/>
      <c r="AB456" s="103"/>
      <c r="AC456" s="71"/>
      <c r="AD456" s="100">
        <f t="shared" si="150"/>
        <v>641.02582576834698</v>
      </c>
      <c r="AE456" s="98"/>
      <c r="AF456" s="8" t="str">
        <f t="array" ref="AF456">_xlfn.XLOOKUP($G456,'AP Plants'!D:D,'AP Plants'!B:B)</f>
        <v>Class 3</v>
      </c>
      <c r="AG456" s="102">
        <f>AD456*'Currency &amp; Conversion'!$L$6</f>
        <v>954.61565973422239</v>
      </c>
      <c r="AH456" s="102"/>
      <c r="AI456" s="44">
        <v>1.4999999999999999E-2</v>
      </c>
      <c r="AJ456" s="15">
        <f>_xlfn.XLOOKUP($AF456,Warranty!B:B,Warranty!E:E)</f>
        <v>1.4999999999999999E-2</v>
      </c>
      <c r="AK456" s="8">
        <f>IF($I456="AUD",VLOOKUP(RIGHT('Wk - Margins'!$G456,3),'AU Freight'!C:G,5,0),0)</f>
        <v>100</v>
      </c>
      <c r="AL456" s="15">
        <f t="shared" si="153"/>
        <v>0</v>
      </c>
      <c r="AM456" s="61">
        <f t="shared" si="151"/>
        <v>1083.254129526249</v>
      </c>
      <c r="AN456" s="63">
        <f t="shared" si="154"/>
        <v>0.15563392142436872</v>
      </c>
      <c r="AQ456" s="147"/>
    </row>
    <row r="457" spans="1:43">
      <c r="A457" s="10" t="str">
        <f>'Input - Bookings'!A457</f>
        <v>10-27</v>
      </c>
      <c r="B457" s="11" t="str">
        <f>'Input - Bookings'!C457</f>
        <v>P</v>
      </c>
      <c r="C457" s="11" t="str">
        <f>'Input - Bookings'!H457</f>
        <v>AU</v>
      </c>
      <c r="D457" s="24" t="str">
        <f>'Input - Bookings'!E457</f>
        <v>065</v>
      </c>
      <c r="E457" s="24" t="str">
        <f>'Input - Bookings'!G457</f>
        <v>ADAPT-A-LIFT GROUP (QLD)</v>
      </c>
      <c r="F457" s="146" t="str">
        <f>'Input - Bookings'!I457</f>
        <v>H68534</v>
      </c>
      <c r="G457" s="24" t="str">
        <f>'Input - Bookings'!L457</f>
        <v>A6W9</v>
      </c>
      <c r="H457" s="24" t="str">
        <f>'Input - Bookings'!M457</f>
        <v>PC1.5</v>
      </c>
      <c r="I457" s="24" t="str">
        <f>'Input - Bookings'!B457</f>
        <v>AUD</v>
      </c>
      <c r="J457" s="13" t="str">
        <f>IF(I457="USD",INDEX('AP Plants'!A:A,MATCH(G457,'AP Plants'!D:D,0)),INDEX('Australia Plants'!A:A,MATCH(G457,'Australia Plants'!D:D,0)))</f>
        <v>Staxx</v>
      </c>
      <c r="K457" s="73">
        <v>1</v>
      </c>
      <c r="L457" s="97">
        <v>2140</v>
      </c>
      <c r="M457" s="97">
        <v>1282.92</v>
      </c>
      <c r="N457" s="99">
        <v>0.15563392142436872</v>
      </c>
      <c r="O457" s="25">
        <f t="shared" si="144"/>
        <v>0.40050467289719627</v>
      </c>
      <c r="P457" s="14">
        <f>IFERROR(IF(OR(B457&amp;C457="PAU",B457&amp;C457="AIN"),VLOOKUP(B457&amp;C457&amp;G457,#REF!,8,0),VLOOKUP(B457&amp;G457,#REF!,8,0)),0)</f>
        <v>0</v>
      </c>
      <c r="Q457" s="15">
        <f t="shared" si="145"/>
        <v>0.15563392142436872</v>
      </c>
      <c r="R457" s="16" t="str">
        <f t="shared" si="146"/>
        <v>AOP</v>
      </c>
      <c r="S457" s="17">
        <f t="shared" ref="S457:S520" si="155">K457*M457*(N457-P457)</f>
        <v>199.66587047375111</v>
      </c>
      <c r="T457" s="18" t="e">
        <f t="shared" si="147"/>
        <v>#DIV/0!</v>
      </c>
      <c r="U457" s="23" t="e">
        <f t="shared" si="152"/>
        <v>#DIV/0!</v>
      </c>
      <c r="Y457" s="8" t="str">
        <f t="shared" si="148"/>
        <v>PAUH68534PC1.5</v>
      </c>
      <c r="Z457" s="8" t="str">
        <f>IF(Y457='Input - Bookings'!Q690,"OK","Check")</f>
        <v>Check</v>
      </c>
      <c r="AA457" s="118"/>
      <c r="AB457" s="103"/>
      <c r="AC457" s="71"/>
      <c r="AD457" s="100">
        <f t="shared" si="150"/>
        <v>641.02582576834698</v>
      </c>
      <c r="AE457" s="100"/>
      <c r="AF457" s="8" t="str">
        <f t="array" ref="AF457">_xlfn.XLOOKUP($G457,'AP Plants'!D:D,'AP Plants'!B:B)</f>
        <v>Class 3</v>
      </c>
      <c r="AG457" s="102">
        <f>AD457*'Currency &amp; Conversion'!$L$6</f>
        <v>954.61565973422239</v>
      </c>
      <c r="AH457" s="102"/>
      <c r="AI457" s="44">
        <v>1.4999999999999999E-2</v>
      </c>
      <c r="AJ457" s="15">
        <f>_xlfn.XLOOKUP($AF457,Warranty!B:B,Warranty!E:E)</f>
        <v>1.4999999999999999E-2</v>
      </c>
      <c r="AK457" s="8">
        <f>IF($I457="AUD",VLOOKUP(RIGHT('Wk - Margins'!$G457,3),'AU Freight'!C:G,5,0),0)</f>
        <v>100</v>
      </c>
      <c r="AL457" s="15">
        <f t="shared" si="153"/>
        <v>0</v>
      </c>
      <c r="AM457" s="61">
        <f t="shared" si="151"/>
        <v>1083.254129526249</v>
      </c>
      <c r="AN457" s="63">
        <f t="shared" si="154"/>
        <v>0.15563392142436872</v>
      </c>
      <c r="AQ457" s="147"/>
    </row>
    <row r="458" spans="1:43">
      <c r="A458" s="10" t="str">
        <f>'Input - Bookings'!A458</f>
        <v>10-27</v>
      </c>
      <c r="B458" s="11" t="str">
        <f>'Input - Bookings'!C458</f>
        <v>P</v>
      </c>
      <c r="C458" s="11" t="str">
        <f>'Input - Bookings'!H458</f>
        <v>AU</v>
      </c>
      <c r="D458" s="24" t="str">
        <f>'Input - Bookings'!E458</f>
        <v>065</v>
      </c>
      <c r="E458" s="24" t="str">
        <f>'Input - Bookings'!G458</f>
        <v>ADAPT-A-LIFT GROUP (QLD)</v>
      </c>
      <c r="F458" s="146" t="str">
        <f>'Input - Bookings'!I458</f>
        <v>H68535</v>
      </c>
      <c r="G458" s="24" t="str">
        <f>'Input - Bookings'!L458</f>
        <v>A6W9</v>
      </c>
      <c r="H458" s="24" t="str">
        <f>'Input - Bookings'!M458</f>
        <v>PC1.5</v>
      </c>
      <c r="I458" s="24" t="str">
        <f>'Input - Bookings'!B458</f>
        <v>AUD</v>
      </c>
      <c r="J458" s="13" t="str">
        <f>IF(I458="USD",INDEX('AP Plants'!A:A,MATCH(G458,'AP Plants'!D:D,0)),INDEX('Australia Plants'!A:A,MATCH(G458,'Australia Plants'!D:D,0)))</f>
        <v>Staxx</v>
      </c>
      <c r="K458" s="73">
        <v>1</v>
      </c>
      <c r="L458" s="97">
        <v>2140</v>
      </c>
      <c r="M458" s="97">
        <v>1282.92</v>
      </c>
      <c r="N458" s="99">
        <v>0.15563392142436872</v>
      </c>
      <c r="O458" s="25">
        <f t="shared" si="144"/>
        <v>0.40050467289719627</v>
      </c>
      <c r="P458" s="14">
        <f>IFERROR(IF(OR(B458&amp;C458="PAU",B458&amp;C458="AIN"),VLOOKUP(B458&amp;C458&amp;G458,#REF!,8,0),VLOOKUP(B458&amp;G458,#REF!,8,0)),0)</f>
        <v>0</v>
      </c>
      <c r="Q458" s="15">
        <f t="shared" si="145"/>
        <v>0.15563392142436872</v>
      </c>
      <c r="R458" s="16" t="str">
        <f t="shared" si="146"/>
        <v>AOP</v>
      </c>
      <c r="S458" s="17">
        <f t="shared" si="155"/>
        <v>199.66587047375111</v>
      </c>
      <c r="T458" s="18" t="e">
        <f t="shared" si="147"/>
        <v>#DIV/0!</v>
      </c>
      <c r="U458" s="23" t="e">
        <f t="shared" si="152"/>
        <v>#DIV/0!</v>
      </c>
      <c r="Y458" s="8" t="str">
        <f t="shared" si="148"/>
        <v>PAUH68535PC1.5</v>
      </c>
      <c r="Z458" s="8" t="str">
        <f>IF(Y458='Input - Bookings'!Q691,"OK","Check")</f>
        <v>Check</v>
      </c>
      <c r="AA458" s="118"/>
      <c r="AB458" s="103"/>
      <c r="AC458" s="71"/>
      <c r="AD458" s="100">
        <f t="shared" si="150"/>
        <v>641.02582576834698</v>
      </c>
      <c r="AE458" s="100"/>
      <c r="AF458" s="8" t="str">
        <f t="array" ref="AF458">_xlfn.XLOOKUP($G458,'AP Plants'!D:D,'AP Plants'!B:B)</f>
        <v>Class 3</v>
      </c>
      <c r="AG458" s="102">
        <f>AD458*'Currency &amp; Conversion'!$L$6</f>
        <v>954.61565973422239</v>
      </c>
      <c r="AH458" s="102"/>
      <c r="AI458" s="44">
        <v>1.4999999999999999E-2</v>
      </c>
      <c r="AJ458" s="15">
        <f>_xlfn.XLOOKUP($AF458,Warranty!B:B,Warranty!E:E)</f>
        <v>1.4999999999999999E-2</v>
      </c>
      <c r="AK458" s="8">
        <f>IF($I458="AUD",VLOOKUP(RIGHT('Wk - Margins'!$G458,3),'AU Freight'!C:G,5,0),0)</f>
        <v>100</v>
      </c>
      <c r="AL458" s="15">
        <f t="shared" si="153"/>
        <v>0</v>
      </c>
      <c r="AM458" s="61">
        <f t="shared" si="151"/>
        <v>1083.254129526249</v>
      </c>
      <c r="AN458" s="63">
        <f t="shared" si="154"/>
        <v>0.15563392142436872</v>
      </c>
      <c r="AQ458" s="147"/>
    </row>
    <row r="459" spans="1:43">
      <c r="A459" s="10" t="str">
        <f>'Input - Bookings'!A459</f>
        <v>10-27</v>
      </c>
      <c r="B459" s="11" t="str">
        <f>'Input - Bookings'!C459</f>
        <v>P</v>
      </c>
      <c r="C459" s="11" t="str">
        <f>'Input - Bookings'!H459</f>
        <v>AU</v>
      </c>
      <c r="D459" s="24" t="str">
        <f>'Input - Bookings'!E459</f>
        <v>065</v>
      </c>
      <c r="E459" s="24" t="str">
        <f>'Input - Bookings'!G459</f>
        <v>ADAPT-A-LIFT GROUP (QLD)</v>
      </c>
      <c r="F459" s="146" t="str">
        <f>'Input - Bookings'!I459</f>
        <v>H68536</v>
      </c>
      <c r="G459" s="24" t="str">
        <f>'Input - Bookings'!L459</f>
        <v>A6W9</v>
      </c>
      <c r="H459" s="24" t="str">
        <f>'Input - Bookings'!M459</f>
        <v>PC1.5</v>
      </c>
      <c r="I459" s="24" t="str">
        <f>'Input - Bookings'!B459</f>
        <v>AUD</v>
      </c>
      <c r="J459" s="13" t="str">
        <f>IF(I459="USD",INDEX('AP Plants'!A:A,MATCH(G459,'AP Plants'!D:D,0)),INDEX('Australia Plants'!A:A,MATCH(G459,'Australia Plants'!D:D,0)))</f>
        <v>Staxx</v>
      </c>
      <c r="K459" s="73">
        <v>1</v>
      </c>
      <c r="L459" s="97">
        <v>2140</v>
      </c>
      <c r="M459" s="97">
        <v>1282.92</v>
      </c>
      <c r="N459" s="99">
        <v>0.15563392142436872</v>
      </c>
      <c r="O459" s="25">
        <f t="shared" si="144"/>
        <v>0.40050467289719627</v>
      </c>
      <c r="P459" s="14">
        <f>IFERROR(IF(OR(B459&amp;C459="PAU",B459&amp;C459="AIN"),VLOOKUP(B459&amp;C459&amp;G459,#REF!,8,0),VLOOKUP(B459&amp;G459,#REF!,8,0)),0)</f>
        <v>0</v>
      </c>
      <c r="Q459" s="15">
        <f t="shared" si="145"/>
        <v>0.15563392142436872</v>
      </c>
      <c r="R459" s="16" t="str">
        <f t="shared" si="146"/>
        <v>AOP</v>
      </c>
      <c r="S459" s="17">
        <f t="shared" si="155"/>
        <v>199.66587047375111</v>
      </c>
      <c r="T459" s="18" t="e">
        <f t="shared" si="147"/>
        <v>#DIV/0!</v>
      </c>
      <c r="U459" s="23" t="e">
        <f t="shared" si="152"/>
        <v>#DIV/0!</v>
      </c>
      <c r="Y459" s="8" t="str">
        <f t="shared" si="148"/>
        <v>PAUH68536PC1.5</v>
      </c>
      <c r="Z459" s="8" t="str">
        <f>IF(Y459='Input - Bookings'!Q692,"OK","Check")</f>
        <v>Check</v>
      </c>
      <c r="AA459" s="118"/>
      <c r="AB459" s="103"/>
      <c r="AC459" s="103"/>
      <c r="AD459" s="100">
        <f t="shared" si="150"/>
        <v>641.02582576834698</v>
      </c>
      <c r="AE459" s="100"/>
      <c r="AF459" s="8" t="str">
        <f t="array" ref="AF459">_xlfn.XLOOKUP($G459,'AP Plants'!D:D,'AP Plants'!B:B)</f>
        <v>Class 3</v>
      </c>
      <c r="AG459" s="102">
        <f>AD459*'Currency &amp; Conversion'!$L$6</f>
        <v>954.61565973422239</v>
      </c>
      <c r="AH459" s="102"/>
      <c r="AI459" s="44">
        <v>1.4999999999999999E-2</v>
      </c>
      <c r="AJ459" s="15">
        <f>_xlfn.XLOOKUP($AF459,Warranty!B:B,Warranty!E:E)</f>
        <v>1.4999999999999999E-2</v>
      </c>
      <c r="AK459" s="8">
        <f>IF($I459="AUD",VLOOKUP(RIGHT('Wk - Margins'!$G459,3),'AU Freight'!C:G,5,0),0)</f>
        <v>100</v>
      </c>
      <c r="AL459" s="15">
        <f t="shared" si="153"/>
        <v>0</v>
      </c>
      <c r="AM459" s="61">
        <f t="shared" si="151"/>
        <v>1083.254129526249</v>
      </c>
      <c r="AN459" s="63">
        <f t="shared" si="154"/>
        <v>0.15563392142436872</v>
      </c>
      <c r="AQ459" s="147"/>
    </row>
    <row r="460" spans="1:43">
      <c r="A460" s="10" t="str">
        <f>'Input - Bookings'!A460</f>
        <v>10-27</v>
      </c>
      <c r="B460" s="11" t="str">
        <f>'Input - Bookings'!C460</f>
        <v>P</v>
      </c>
      <c r="C460" s="11" t="str">
        <f>'Input - Bookings'!H460</f>
        <v>AU</v>
      </c>
      <c r="D460" s="24" t="str">
        <f>'Input - Bookings'!E460</f>
        <v>065</v>
      </c>
      <c r="E460" s="24" t="str">
        <f>'Input - Bookings'!G460</f>
        <v>ADAPT-A-LIFT GROUP (QLD)</v>
      </c>
      <c r="F460" s="146" t="str">
        <f>'Input - Bookings'!I460</f>
        <v>H68537</v>
      </c>
      <c r="G460" s="24" t="str">
        <f>'Input - Bookings'!L460</f>
        <v>A6W9</v>
      </c>
      <c r="H460" s="24" t="str">
        <f>'Input - Bookings'!M460</f>
        <v>PC1.5</v>
      </c>
      <c r="I460" s="24" t="str">
        <f>'Input - Bookings'!B460</f>
        <v>AUD</v>
      </c>
      <c r="J460" s="13" t="str">
        <f>IF(I460="USD",INDEX('AP Plants'!A:A,MATCH(G460,'AP Plants'!D:D,0)),INDEX('Australia Plants'!A:A,MATCH(G460,'Australia Plants'!D:D,0)))</f>
        <v>Staxx</v>
      </c>
      <c r="K460" s="73">
        <v>1</v>
      </c>
      <c r="L460" s="97">
        <v>2140</v>
      </c>
      <c r="M460" s="97">
        <v>1282.92</v>
      </c>
      <c r="N460" s="99">
        <v>0.15563392142436872</v>
      </c>
      <c r="O460" s="25">
        <f t="shared" si="144"/>
        <v>0.40050467289719627</v>
      </c>
      <c r="P460" s="14">
        <f>IFERROR(IF(OR(B460&amp;C460="PAU",B460&amp;C460="AIN"),VLOOKUP(B460&amp;C460&amp;G460,#REF!,8,0),VLOOKUP(B460&amp;G460,#REF!,8,0)),0)</f>
        <v>0</v>
      </c>
      <c r="Q460" s="15">
        <f t="shared" si="145"/>
        <v>0.15563392142436872</v>
      </c>
      <c r="R460" s="16" t="str">
        <f t="shared" si="146"/>
        <v>AOP</v>
      </c>
      <c r="S460" s="17">
        <f t="shared" si="155"/>
        <v>199.66587047375111</v>
      </c>
      <c r="T460" s="18" t="e">
        <f t="shared" si="147"/>
        <v>#DIV/0!</v>
      </c>
      <c r="U460" s="23" t="e">
        <f t="shared" si="152"/>
        <v>#DIV/0!</v>
      </c>
      <c r="Y460" s="8" t="str">
        <f t="shared" si="148"/>
        <v>PAUH68537PC1.5</v>
      </c>
      <c r="Z460" s="8" t="str">
        <f>IF(Y460='Input - Bookings'!Q693,"OK","Check")</f>
        <v>Check</v>
      </c>
      <c r="AA460" s="118"/>
      <c r="AB460" s="103"/>
      <c r="AC460" s="103"/>
      <c r="AD460" s="100">
        <f t="shared" si="150"/>
        <v>641.02582576834698</v>
      </c>
      <c r="AE460" s="98"/>
      <c r="AF460" s="8" t="str">
        <f t="array" ref="AF460">_xlfn.XLOOKUP($G460,'AP Plants'!D:D,'AP Plants'!B:B)</f>
        <v>Class 3</v>
      </c>
      <c r="AG460" s="102">
        <f>AD460*'Currency &amp; Conversion'!$L$6</f>
        <v>954.61565973422239</v>
      </c>
      <c r="AH460" s="102"/>
      <c r="AI460" s="44">
        <v>1.4999999999999999E-2</v>
      </c>
      <c r="AJ460" s="15">
        <f>_xlfn.XLOOKUP($AF460,Warranty!B:B,Warranty!E:E)</f>
        <v>1.4999999999999999E-2</v>
      </c>
      <c r="AK460" s="8">
        <f>IF($I460="AUD",VLOOKUP(RIGHT('Wk - Margins'!$G460,3),'AU Freight'!C:G,5,0),0)</f>
        <v>100</v>
      </c>
      <c r="AL460" s="15">
        <f t="shared" si="153"/>
        <v>0</v>
      </c>
      <c r="AM460" s="61">
        <f t="shared" si="151"/>
        <v>1083.254129526249</v>
      </c>
      <c r="AN460" s="63">
        <f t="shared" si="154"/>
        <v>0.15563392142436872</v>
      </c>
      <c r="AQ460" s="147"/>
    </row>
    <row r="461" spans="1:43">
      <c r="A461" s="10" t="str">
        <f>'Input - Bookings'!A461</f>
        <v>10-27</v>
      </c>
      <c r="B461" s="11" t="str">
        <f>'Input - Bookings'!C461</f>
        <v>P</v>
      </c>
      <c r="C461" s="11" t="str">
        <f>'Input - Bookings'!H461</f>
        <v>AU</v>
      </c>
      <c r="D461" s="24" t="str">
        <f>'Input - Bookings'!E461</f>
        <v>065</v>
      </c>
      <c r="E461" s="24" t="str">
        <f>'Input - Bookings'!G461</f>
        <v>ADAPT-A-LIFT GROUP (QLD)</v>
      </c>
      <c r="F461" s="146" t="str">
        <f>'Input - Bookings'!I461</f>
        <v>H68538</v>
      </c>
      <c r="G461" s="24" t="str">
        <f>'Input - Bookings'!L461</f>
        <v>A6W9</v>
      </c>
      <c r="H461" s="24" t="str">
        <f>'Input - Bookings'!M461</f>
        <v>PC1.5</v>
      </c>
      <c r="I461" s="24" t="str">
        <f>'Input - Bookings'!B461</f>
        <v>AUD</v>
      </c>
      <c r="J461" s="13" t="str">
        <f>IF(I461="USD",INDEX('AP Plants'!A:A,MATCH(G461,'AP Plants'!D:D,0)),INDEX('Australia Plants'!A:A,MATCH(G461,'Australia Plants'!D:D,0)))</f>
        <v>Staxx</v>
      </c>
      <c r="K461" s="73">
        <v>1</v>
      </c>
      <c r="L461" s="97">
        <v>2140</v>
      </c>
      <c r="M461" s="97">
        <v>1282.92</v>
      </c>
      <c r="N461" s="99">
        <v>0.15563392142436872</v>
      </c>
      <c r="O461" s="25">
        <f t="shared" si="144"/>
        <v>0.40050467289719627</v>
      </c>
      <c r="P461" s="14">
        <f>IFERROR(IF(OR(B461&amp;C461="PAU",B461&amp;C461="AIN"),VLOOKUP(B461&amp;C461&amp;G461,#REF!,8,0),VLOOKUP(B461&amp;G461,#REF!,8,0)),0)</f>
        <v>0</v>
      </c>
      <c r="Q461" s="15">
        <f t="shared" si="145"/>
        <v>0.15563392142436872</v>
      </c>
      <c r="R461" s="16" t="str">
        <f t="shared" si="146"/>
        <v>AOP</v>
      </c>
      <c r="S461" s="17">
        <f t="shared" si="155"/>
        <v>199.66587047375111</v>
      </c>
      <c r="T461" s="18" t="e">
        <f t="shared" si="147"/>
        <v>#DIV/0!</v>
      </c>
      <c r="U461" s="23" t="e">
        <f t="shared" si="152"/>
        <v>#DIV/0!</v>
      </c>
      <c r="Y461" s="8" t="str">
        <f t="shared" si="148"/>
        <v>PAUH68538PC1.5</v>
      </c>
      <c r="Z461" s="8" t="str">
        <f>IF(Y461='Input - Bookings'!Q694,"OK","Check")</f>
        <v>Check</v>
      </c>
      <c r="AA461" s="118"/>
      <c r="AB461" s="103"/>
      <c r="AC461" s="103"/>
      <c r="AD461" s="100">
        <f t="shared" ref="AD461:AD473" si="156">608.025825768347+33</f>
        <v>641.02582576834698</v>
      </c>
      <c r="AE461" s="100"/>
      <c r="AF461" s="8" t="str">
        <f t="array" ref="AF461">_xlfn.XLOOKUP($G461,'AP Plants'!D:D,'AP Plants'!B:B)</f>
        <v>Class 3</v>
      </c>
      <c r="AG461" s="102">
        <f>AD461*'Currency &amp; Conversion'!$L$6</f>
        <v>954.61565973422239</v>
      </c>
      <c r="AH461" s="102"/>
      <c r="AI461" s="44">
        <v>1.4999999999999999E-2</v>
      </c>
      <c r="AJ461" s="15">
        <f>_xlfn.XLOOKUP($AF461,Warranty!B:B,Warranty!E:E)</f>
        <v>1.4999999999999999E-2</v>
      </c>
      <c r="AK461" s="8">
        <f>IF($I461="AUD",VLOOKUP(RIGHT('Wk - Margins'!$G461,3),'AU Freight'!C:G,5,0),0)</f>
        <v>100</v>
      </c>
      <c r="AL461" s="15">
        <f t="shared" si="153"/>
        <v>0</v>
      </c>
      <c r="AM461" s="61">
        <f t="shared" si="151"/>
        <v>1083.254129526249</v>
      </c>
      <c r="AN461" s="63">
        <f t="shared" si="154"/>
        <v>0.15563392142436872</v>
      </c>
      <c r="AQ461" s="147"/>
    </row>
    <row r="462" spans="1:43">
      <c r="A462" s="10" t="str">
        <f>'Input - Bookings'!A462</f>
        <v>10-27</v>
      </c>
      <c r="B462" s="11" t="str">
        <f>'Input - Bookings'!C462</f>
        <v>P</v>
      </c>
      <c r="C462" s="11" t="str">
        <f>'Input - Bookings'!H462</f>
        <v>AU</v>
      </c>
      <c r="D462" s="24" t="str">
        <f>'Input - Bookings'!E462</f>
        <v>065</v>
      </c>
      <c r="E462" s="24" t="str">
        <f>'Input - Bookings'!G462</f>
        <v>ADAPT-A-LIFT GROUP (QLD)</v>
      </c>
      <c r="F462" s="146" t="str">
        <f>'Input - Bookings'!I462</f>
        <v>H68539</v>
      </c>
      <c r="G462" s="24" t="str">
        <f>'Input - Bookings'!L462</f>
        <v>A6W9</v>
      </c>
      <c r="H462" s="24" t="str">
        <f>'Input - Bookings'!M462</f>
        <v>PC1.5</v>
      </c>
      <c r="I462" s="24" t="str">
        <f>'Input - Bookings'!B462</f>
        <v>AUD</v>
      </c>
      <c r="J462" s="13" t="str">
        <f>IF(I462="USD",INDEX('AP Plants'!A:A,MATCH(G462,'AP Plants'!D:D,0)),INDEX('Australia Plants'!A:A,MATCH(G462,'Australia Plants'!D:D,0)))</f>
        <v>Staxx</v>
      </c>
      <c r="K462" s="73">
        <v>1</v>
      </c>
      <c r="L462" s="97">
        <v>2140</v>
      </c>
      <c r="M462" s="97">
        <v>1282.92</v>
      </c>
      <c r="N462" s="99">
        <v>0.15563392142436872</v>
      </c>
      <c r="O462" s="25">
        <f t="shared" si="144"/>
        <v>0.40050467289719627</v>
      </c>
      <c r="P462" s="14">
        <f>IFERROR(IF(OR(B462&amp;C462="PAU",B462&amp;C462="AIN"),VLOOKUP(B462&amp;C462&amp;G462,#REF!,8,0),VLOOKUP(B462&amp;G462,#REF!,8,0)),0)</f>
        <v>0</v>
      </c>
      <c r="Q462" s="15">
        <f t="shared" si="145"/>
        <v>0.15563392142436872</v>
      </c>
      <c r="R462" s="16" t="str">
        <f t="shared" si="146"/>
        <v>AOP</v>
      </c>
      <c r="S462" s="17">
        <f t="shared" si="155"/>
        <v>199.66587047375111</v>
      </c>
      <c r="T462" s="18" t="e">
        <f t="shared" si="147"/>
        <v>#DIV/0!</v>
      </c>
      <c r="U462" s="23" t="e">
        <f t="shared" si="152"/>
        <v>#DIV/0!</v>
      </c>
      <c r="Y462" s="8" t="str">
        <f t="shared" si="148"/>
        <v>PAUH68539PC1.5</v>
      </c>
      <c r="Z462" s="8" t="str">
        <f>IF(Y462='Input - Bookings'!Q695,"OK","Check")</f>
        <v>Check</v>
      </c>
      <c r="AA462" s="118"/>
      <c r="AB462" s="103"/>
      <c r="AC462" s="71"/>
      <c r="AD462" s="100">
        <f t="shared" si="156"/>
        <v>641.02582576834698</v>
      </c>
      <c r="AE462" s="98"/>
      <c r="AF462" s="8" t="str">
        <f t="array" ref="AF462">_xlfn.XLOOKUP($G462,'AP Plants'!D:D,'AP Plants'!B:B)</f>
        <v>Class 3</v>
      </c>
      <c r="AG462" s="102">
        <f>AD462*'Currency &amp; Conversion'!$L$6</f>
        <v>954.61565973422239</v>
      </c>
      <c r="AH462" s="102"/>
      <c r="AI462" s="44">
        <v>1.4999999999999999E-2</v>
      </c>
      <c r="AJ462" s="15">
        <f>_xlfn.XLOOKUP($AF462,Warranty!B:B,Warranty!E:E)</f>
        <v>1.4999999999999999E-2</v>
      </c>
      <c r="AK462" s="8">
        <f>IF($I462="AUD",VLOOKUP(RIGHT('Wk - Margins'!$G462,3),'AU Freight'!C:G,5,0),0)</f>
        <v>100</v>
      </c>
      <c r="AL462" s="15">
        <f t="shared" si="153"/>
        <v>0</v>
      </c>
      <c r="AM462" s="61">
        <f t="shared" si="151"/>
        <v>1083.254129526249</v>
      </c>
      <c r="AN462" s="63">
        <f t="shared" si="154"/>
        <v>0.15563392142436872</v>
      </c>
      <c r="AQ462" s="147"/>
    </row>
    <row r="463" spans="1:43">
      <c r="A463" s="10" t="str">
        <f>'Input - Bookings'!A463</f>
        <v>10-27</v>
      </c>
      <c r="B463" s="11" t="str">
        <f>'Input - Bookings'!C463</f>
        <v>P</v>
      </c>
      <c r="C463" s="11" t="str">
        <f>'Input - Bookings'!H463</f>
        <v>AU</v>
      </c>
      <c r="D463" s="24" t="str">
        <f>'Input - Bookings'!E463</f>
        <v>065</v>
      </c>
      <c r="E463" s="24" t="str">
        <f>'Input - Bookings'!G463</f>
        <v>ADAPT-A-LIFT GROUP (QLD)</v>
      </c>
      <c r="F463" s="146" t="str">
        <f>'Input - Bookings'!I463</f>
        <v>H68540</v>
      </c>
      <c r="G463" s="24" t="str">
        <f>'Input - Bookings'!L463</f>
        <v>A6W9</v>
      </c>
      <c r="H463" s="24" t="str">
        <f>'Input - Bookings'!M463</f>
        <v>PC1.5</v>
      </c>
      <c r="I463" s="24" t="str">
        <f>'Input - Bookings'!B463</f>
        <v>AUD</v>
      </c>
      <c r="J463" s="13" t="str">
        <f>IF(I463="USD",INDEX('AP Plants'!A:A,MATCH(G463,'AP Plants'!D:D,0)),INDEX('Australia Plants'!A:A,MATCH(G463,'Australia Plants'!D:D,0)))</f>
        <v>Staxx</v>
      </c>
      <c r="K463" s="73">
        <v>1</v>
      </c>
      <c r="L463" s="97">
        <v>2140</v>
      </c>
      <c r="M463" s="97">
        <v>1282.92</v>
      </c>
      <c r="N463" s="99">
        <v>0.15563392142436872</v>
      </c>
      <c r="O463" s="25">
        <f t="shared" si="144"/>
        <v>0.40050467289719627</v>
      </c>
      <c r="P463" s="14">
        <f>IFERROR(IF(OR(B463&amp;C463="PAU",B463&amp;C463="AIN"),VLOOKUP(B463&amp;C463&amp;G463,#REF!,8,0),VLOOKUP(B463&amp;G463,#REF!,8,0)),0)</f>
        <v>0</v>
      </c>
      <c r="Q463" s="15">
        <f t="shared" si="145"/>
        <v>0.15563392142436872</v>
      </c>
      <c r="R463" s="16" t="str">
        <f t="shared" si="146"/>
        <v>AOP</v>
      </c>
      <c r="S463" s="17">
        <f t="shared" si="155"/>
        <v>199.66587047375111</v>
      </c>
      <c r="T463" s="18" t="e">
        <f t="shared" si="147"/>
        <v>#DIV/0!</v>
      </c>
      <c r="U463" s="23" t="e">
        <f t="shared" si="152"/>
        <v>#DIV/0!</v>
      </c>
      <c r="Y463" s="8" t="str">
        <f t="shared" si="148"/>
        <v>PAUH68540PC1.5</v>
      </c>
      <c r="Z463" s="8" t="str">
        <f>IF(Y463='Input - Bookings'!Q696,"OK","Check")</f>
        <v>Check</v>
      </c>
      <c r="AA463" s="118"/>
      <c r="AB463" s="103"/>
      <c r="AC463" s="71"/>
      <c r="AD463" s="100">
        <f t="shared" si="156"/>
        <v>641.02582576834698</v>
      </c>
      <c r="AE463" s="100"/>
      <c r="AF463" s="8" t="str">
        <f t="array" ref="AF463">_xlfn.XLOOKUP($G463,'AP Plants'!D:D,'AP Plants'!B:B)</f>
        <v>Class 3</v>
      </c>
      <c r="AG463" s="102">
        <f>AD463*'Currency &amp; Conversion'!$L$6</f>
        <v>954.61565973422239</v>
      </c>
      <c r="AH463" s="102"/>
      <c r="AI463" s="44">
        <v>1.4999999999999999E-2</v>
      </c>
      <c r="AJ463" s="15">
        <f>_xlfn.XLOOKUP($AF463,Warranty!B:B,Warranty!E:E)</f>
        <v>1.4999999999999999E-2</v>
      </c>
      <c r="AK463" s="8">
        <f>IF($I463="AUD",VLOOKUP(RIGHT('Wk - Margins'!$G463,3),'AU Freight'!C:G,5,0),0)</f>
        <v>100</v>
      </c>
      <c r="AL463" s="15">
        <f t="shared" si="153"/>
        <v>0</v>
      </c>
      <c r="AM463" s="61">
        <f t="shared" si="151"/>
        <v>1083.254129526249</v>
      </c>
      <c r="AN463" s="63">
        <f t="shared" si="154"/>
        <v>0.15563392142436872</v>
      </c>
      <c r="AQ463" s="147"/>
    </row>
    <row r="464" spans="1:43">
      <c r="A464" s="10" t="str">
        <f>'Input - Bookings'!A464</f>
        <v>10-27</v>
      </c>
      <c r="B464" s="11" t="str">
        <f>'Input - Bookings'!C464</f>
        <v>P</v>
      </c>
      <c r="C464" s="11" t="str">
        <f>'Input - Bookings'!H464</f>
        <v>AU</v>
      </c>
      <c r="D464" s="24" t="str">
        <f>'Input - Bookings'!E464</f>
        <v>065</v>
      </c>
      <c r="E464" s="24" t="str">
        <f>'Input - Bookings'!G464</f>
        <v>ADAPT-A-LIFT GROUP (QLD)</v>
      </c>
      <c r="F464" s="146" t="str">
        <f>'Input - Bookings'!I464</f>
        <v>H68541</v>
      </c>
      <c r="G464" s="24" t="str">
        <f>'Input - Bookings'!L464</f>
        <v>A6W9</v>
      </c>
      <c r="H464" s="24" t="str">
        <f>'Input - Bookings'!M464</f>
        <v>PC1.5</v>
      </c>
      <c r="I464" s="24" t="str">
        <f>'Input - Bookings'!B464</f>
        <v>AUD</v>
      </c>
      <c r="J464" s="13" t="str">
        <f>IF(I464="USD",INDEX('AP Plants'!A:A,MATCH(G464,'AP Plants'!D:D,0)),INDEX('Australia Plants'!A:A,MATCH(G464,'Australia Plants'!D:D,0)))</f>
        <v>Staxx</v>
      </c>
      <c r="K464" s="73">
        <v>1</v>
      </c>
      <c r="L464" s="97">
        <v>2140</v>
      </c>
      <c r="M464" s="97">
        <v>1282.92</v>
      </c>
      <c r="N464" s="99">
        <v>0.15563392142436872</v>
      </c>
      <c r="O464" s="25">
        <f t="shared" si="144"/>
        <v>0.40050467289719627</v>
      </c>
      <c r="P464" s="14">
        <f>IFERROR(IF(OR(B464&amp;C464="PAU",B464&amp;C464="AIN"),VLOOKUP(B464&amp;C464&amp;G464,#REF!,8,0),VLOOKUP(B464&amp;G464,#REF!,8,0)),0)</f>
        <v>0</v>
      </c>
      <c r="Q464" s="15">
        <f t="shared" si="145"/>
        <v>0.15563392142436872</v>
      </c>
      <c r="R464" s="16" t="str">
        <f t="shared" si="146"/>
        <v>AOP</v>
      </c>
      <c r="S464" s="17">
        <f t="shared" si="155"/>
        <v>199.66587047375111</v>
      </c>
      <c r="T464" s="18" t="e">
        <f t="shared" si="147"/>
        <v>#DIV/0!</v>
      </c>
      <c r="U464" s="23" t="e">
        <f t="shared" si="152"/>
        <v>#DIV/0!</v>
      </c>
      <c r="Y464" s="8" t="str">
        <f t="shared" si="148"/>
        <v>PAUH68541PC1.5</v>
      </c>
      <c r="Z464" s="8" t="str">
        <f>IF(Y464='Input - Bookings'!Q697,"OK","Check")</f>
        <v>Check</v>
      </c>
      <c r="AA464" s="118"/>
      <c r="AB464" s="103"/>
      <c r="AC464" s="71"/>
      <c r="AD464" s="100">
        <f t="shared" si="156"/>
        <v>641.02582576834698</v>
      </c>
      <c r="AE464" s="100"/>
      <c r="AF464" s="8" t="str">
        <f t="array" ref="AF464">_xlfn.XLOOKUP($G464,'AP Plants'!D:D,'AP Plants'!B:B)</f>
        <v>Class 3</v>
      </c>
      <c r="AG464" s="102">
        <f>AD464*'Currency &amp; Conversion'!$L$6</f>
        <v>954.61565973422239</v>
      </c>
      <c r="AH464" s="102"/>
      <c r="AI464" s="44">
        <v>1.4999999999999999E-2</v>
      </c>
      <c r="AJ464" s="15">
        <f>_xlfn.XLOOKUP($AF464,Warranty!B:B,Warranty!E:E)</f>
        <v>1.4999999999999999E-2</v>
      </c>
      <c r="AK464" s="8">
        <f>IF($I464="AUD",VLOOKUP(RIGHT('Wk - Margins'!$G464,3),'AU Freight'!C:G,5,0),0)</f>
        <v>100</v>
      </c>
      <c r="AL464" s="15">
        <f t="shared" si="153"/>
        <v>0</v>
      </c>
      <c r="AM464" s="61">
        <f t="shared" si="151"/>
        <v>1083.254129526249</v>
      </c>
      <c r="AN464" s="63">
        <f t="shared" si="154"/>
        <v>0.15563392142436872</v>
      </c>
      <c r="AQ464" s="147"/>
    </row>
    <row r="465" spans="1:43">
      <c r="A465" s="10" t="str">
        <f>'Input - Bookings'!A465</f>
        <v>10-27</v>
      </c>
      <c r="B465" s="11" t="str">
        <f>'Input - Bookings'!C465</f>
        <v>P</v>
      </c>
      <c r="C465" s="11" t="str">
        <f>'Input - Bookings'!H465</f>
        <v>AU</v>
      </c>
      <c r="D465" s="24" t="str">
        <f>'Input - Bookings'!E465</f>
        <v>065</v>
      </c>
      <c r="E465" s="24" t="str">
        <f>'Input - Bookings'!G465</f>
        <v>ADAPT-A-LIFT GROUP (QLD)</v>
      </c>
      <c r="F465" s="146" t="str">
        <f>'Input - Bookings'!I465</f>
        <v>H68542</v>
      </c>
      <c r="G465" s="24" t="str">
        <f>'Input - Bookings'!L465</f>
        <v>A6W9</v>
      </c>
      <c r="H465" s="24" t="str">
        <f>'Input - Bookings'!M465</f>
        <v>PC1.5</v>
      </c>
      <c r="I465" s="24" t="str">
        <f>'Input - Bookings'!B465</f>
        <v>AUD</v>
      </c>
      <c r="J465" s="13" t="str">
        <f>IF(I465="USD",INDEX('AP Plants'!A:A,MATCH(G465,'AP Plants'!D:D,0)),INDEX('Australia Plants'!A:A,MATCH(G465,'Australia Plants'!D:D,0)))</f>
        <v>Staxx</v>
      </c>
      <c r="K465" s="73">
        <v>1</v>
      </c>
      <c r="L465" s="97">
        <v>2140</v>
      </c>
      <c r="M465" s="97">
        <v>1282.92</v>
      </c>
      <c r="N465" s="99">
        <v>0.15563392142436872</v>
      </c>
      <c r="O465" s="25">
        <f t="shared" si="144"/>
        <v>0.40050467289719627</v>
      </c>
      <c r="P465" s="14">
        <f>IFERROR(IF(OR(B465&amp;C465="PAU",B465&amp;C465="AIN"),VLOOKUP(B465&amp;C465&amp;G465,#REF!,8,0),VLOOKUP(B465&amp;G465,#REF!,8,0)),0)</f>
        <v>0</v>
      </c>
      <c r="Q465" s="15">
        <f t="shared" si="145"/>
        <v>0.15563392142436872</v>
      </c>
      <c r="R465" s="16" t="str">
        <f t="shared" si="146"/>
        <v>AOP</v>
      </c>
      <c r="S465" s="17">
        <f t="shared" si="155"/>
        <v>199.66587047375111</v>
      </c>
      <c r="T465" s="18" t="e">
        <f t="shared" si="147"/>
        <v>#DIV/0!</v>
      </c>
      <c r="U465" s="23" t="e">
        <f t="shared" si="152"/>
        <v>#DIV/0!</v>
      </c>
      <c r="Y465" s="8" t="str">
        <f t="shared" si="148"/>
        <v>PAUH68542PC1.5</v>
      </c>
      <c r="Z465" s="8" t="str">
        <f>IF(Y465='Input - Bookings'!Q698,"OK","Check")</f>
        <v>Check</v>
      </c>
      <c r="AA465" s="118"/>
      <c r="AB465" s="103"/>
      <c r="AC465" s="103"/>
      <c r="AD465" s="100">
        <f t="shared" si="156"/>
        <v>641.02582576834698</v>
      </c>
      <c r="AE465" s="100"/>
      <c r="AF465" s="8" t="str">
        <f t="array" ref="AF465">_xlfn.XLOOKUP($G465,'AP Plants'!D:D,'AP Plants'!B:B)</f>
        <v>Class 3</v>
      </c>
      <c r="AG465" s="102">
        <f>AD465*'Currency &amp; Conversion'!$L$6</f>
        <v>954.61565973422239</v>
      </c>
      <c r="AH465" s="102"/>
      <c r="AI465" s="44">
        <v>1.4999999999999999E-2</v>
      </c>
      <c r="AJ465" s="15">
        <f>_xlfn.XLOOKUP($AF465,Warranty!B:B,Warranty!E:E)</f>
        <v>1.4999999999999999E-2</v>
      </c>
      <c r="AK465" s="8">
        <f>IF($I465="AUD",VLOOKUP(RIGHT('Wk - Margins'!$G465,3),'AU Freight'!C:G,5,0),0)</f>
        <v>100</v>
      </c>
      <c r="AL465" s="15">
        <f t="shared" si="153"/>
        <v>0</v>
      </c>
      <c r="AM465" s="61">
        <f t="shared" si="151"/>
        <v>1083.254129526249</v>
      </c>
      <c r="AN465" s="63">
        <f t="shared" si="154"/>
        <v>0.15563392142436872</v>
      </c>
      <c r="AQ465" s="147"/>
    </row>
    <row r="466" spans="1:43">
      <c r="A466" s="10" t="str">
        <f>'Input - Bookings'!A466</f>
        <v>10-27</v>
      </c>
      <c r="B466" s="11" t="str">
        <f>'Input - Bookings'!C466</f>
        <v>P</v>
      </c>
      <c r="C466" s="11" t="str">
        <f>'Input - Bookings'!H466</f>
        <v>AU</v>
      </c>
      <c r="D466" s="24" t="str">
        <f>'Input - Bookings'!E466</f>
        <v>065</v>
      </c>
      <c r="E466" s="24" t="str">
        <f>'Input - Bookings'!G466</f>
        <v>ADAPT-A-LIFT GROUP (QLD)</v>
      </c>
      <c r="F466" s="146" t="str">
        <f>'Input - Bookings'!I466</f>
        <v>H68543</v>
      </c>
      <c r="G466" s="24" t="str">
        <f>'Input - Bookings'!L466</f>
        <v>A6W9</v>
      </c>
      <c r="H466" s="24" t="str">
        <f>'Input - Bookings'!M466</f>
        <v>PC1.5</v>
      </c>
      <c r="I466" s="24" t="str">
        <f>'Input - Bookings'!B466</f>
        <v>AUD</v>
      </c>
      <c r="J466" s="13" t="str">
        <f>IF(I466="USD",INDEX('AP Plants'!A:A,MATCH(G466,'AP Plants'!D:D,0)),INDEX('Australia Plants'!A:A,MATCH(G466,'Australia Plants'!D:D,0)))</f>
        <v>Staxx</v>
      </c>
      <c r="K466" s="73">
        <v>1</v>
      </c>
      <c r="L466" s="97">
        <v>2140</v>
      </c>
      <c r="M466" s="97">
        <v>1282.92</v>
      </c>
      <c r="N466" s="99">
        <v>0.15563392142436872</v>
      </c>
      <c r="O466" s="25">
        <f t="shared" si="144"/>
        <v>0.40050467289719627</v>
      </c>
      <c r="P466" s="14">
        <f>IFERROR(IF(OR(B466&amp;C466="PAU",B466&amp;C466="AIN"),VLOOKUP(B466&amp;C466&amp;G466,#REF!,8,0),VLOOKUP(B466&amp;G466,#REF!,8,0)),0)</f>
        <v>0</v>
      </c>
      <c r="Q466" s="15">
        <f t="shared" si="145"/>
        <v>0.15563392142436872</v>
      </c>
      <c r="R466" s="16" t="str">
        <f t="shared" si="146"/>
        <v>AOP</v>
      </c>
      <c r="S466" s="17">
        <f t="shared" si="155"/>
        <v>199.66587047375111</v>
      </c>
      <c r="T466" s="18" t="e">
        <f t="shared" si="147"/>
        <v>#DIV/0!</v>
      </c>
      <c r="U466" s="23" t="e">
        <f t="shared" si="152"/>
        <v>#DIV/0!</v>
      </c>
      <c r="Y466" s="8" t="str">
        <f t="shared" si="148"/>
        <v>PAUH68543PC1.5</v>
      </c>
      <c r="Z466" s="8" t="str">
        <f>IF(Y466='Input - Bookings'!Q699,"OK","Check")</f>
        <v>Check</v>
      </c>
      <c r="AA466" s="118"/>
      <c r="AB466" s="103"/>
      <c r="AC466" s="103"/>
      <c r="AD466" s="100">
        <f t="shared" si="156"/>
        <v>641.02582576834698</v>
      </c>
      <c r="AE466" s="98"/>
      <c r="AF466" s="8" t="str">
        <f t="array" ref="AF466">_xlfn.XLOOKUP($G466,'AP Plants'!D:D,'AP Plants'!B:B)</f>
        <v>Class 3</v>
      </c>
      <c r="AG466" s="102">
        <f>AD466*'Currency &amp; Conversion'!$L$6</f>
        <v>954.61565973422239</v>
      </c>
      <c r="AH466" s="102"/>
      <c r="AI466" s="44">
        <v>1.4999999999999999E-2</v>
      </c>
      <c r="AJ466" s="15">
        <f>_xlfn.XLOOKUP($AF466,Warranty!B:B,Warranty!E:E)</f>
        <v>1.4999999999999999E-2</v>
      </c>
      <c r="AK466" s="8">
        <f>IF($I466="AUD",VLOOKUP(RIGHT('Wk - Margins'!$G466,3),'AU Freight'!C:G,5,0),0)</f>
        <v>100</v>
      </c>
      <c r="AL466" s="15">
        <f t="shared" si="153"/>
        <v>0</v>
      </c>
      <c r="AM466" s="61">
        <f t="shared" si="151"/>
        <v>1083.254129526249</v>
      </c>
      <c r="AN466" s="63">
        <f t="shared" si="154"/>
        <v>0.15563392142436872</v>
      </c>
      <c r="AQ466" s="147"/>
    </row>
    <row r="467" spans="1:43">
      <c r="A467" s="10" t="str">
        <f>'Input - Bookings'!A467</f>
        <v>10-27</v>
      </c>
      <c r="B467" s="11" t="str">
        <f>'Input - Bookings'!C467</f>
        <v>P</v>
      </c>
      <c r="C467" s="11" t="str">
        <f>'Input - Bookings'!H467</f>
        <v>AU</v>
      </c>
      <c r="D467" s="24" t="str">
        <f>'Input - Bookings'!E467</f>
        <v>065</v>
      </c>
      <c r="E467" s="24" t="str">
        <f>'Input - Bookings'!G467</f>
        <v>ADAPT-A-LIFT GROUP (QLD)</v>
      </c>
      <c r="F467" s="146" t="str">
        <f>'Input - Bookings'!I467</f>
        <v>H68544</v>
      </c>
      <c r="G467" s="24" t="str">
        <f>'Input - Bookings'!L467</f>
        <v>A6W9</v>
      </c>
      <c r="H467" s="24" t="str">
        <f>'Input - Bookings'!M467</f>
        <v>PC1.5</v>
      </c>
      <c r="I467" s="24" t="str">
        <f>'Input - Bookings'!B467</f>
        <v>AUD</v>
      </c>
      <c r="J467" s="13" t="str">
        <f>IF(I467="USD",INDEX('AP Plants'!A:A,MATCH(G467,'AP Plants'!D:D,0)),INDEX('Australia Plants'!A:A,MATCH(G467,'Australia Plants'!D:D,0)))</f>
        <v>Staxx</v>
      </c>
      <c r="K467" s="73">
        <v>1</v>
      </c>
      <c r="L467" s="97">
        <v>2140</v>
      </c>
      <c r="M467" s="97">
        <v>1282.92</v>
      </c>
      <c r="N467" s="99">
        <v>0.15563392142436872</v>
      </c>
      <c r="O467" s="25">
        <f t="shared" si="144"/>
        <v>0.40050467289719627</v>
      </c>
      <c r="P467" s="14">
        <f>IFERROR(IF(OR(B467&amp;C467="PAU",B467&amp;C467="AIN"),VLOOKUP(B467&amp;C467&amp;G467,#REF!,8,0),VLOOKUP(B467&amp;G467,#REF!,8,0)),0)</f>
        <v>0</v>
      </c>
      <c r="Q467" s="15">
        <f t="shared" si="145"/>
        <v>0.15563392142436872</v>
      </c>
      <c r="R467" s="16" t="str">
        <f t="shared" si="146"/>
        <v>AOP</v>
      </c>
      <c r="S467" s="17">
        <f t="shared" si="155"/>
        <v>199.66587047375111</v>
      </c>
      <c r="T467" s="18" t="e">
        <f t="shared" si="147"/>
        <v>#DIV/0!</v>
      </c>
      <c r="U467" s="23" t="e">
        <f t="shared" si="152"/>
        <v>#DIV/0!</v>
      </c>
      <c r="Y467" s="8" t="str">
        <f t="shared" si="148"/>
        <v>PAUH68544PC1.5</v>
      </c>
      <c r="Z467" s="8" t="str">
        <f>IF(Y467='Input - Bookings'!Q700,"OK","Check")</f>
        <v>Check</v>
      </c>
      <c r="AA467" s="118"/>
      <c r="AB467" s="103"/>
      <c r="AC467" s="103"/>
      <c r="AD467" s="100">
        <f t="shared" si="156"/>
        <v>641.02582576834698</v>
      </c>
      <c r="AE467" s="100"/>
      <c r="AF467" s="8" t="str">
        <f t="array" ref="AF467">_xlfn.XLOOKUP($G467,'AP Plants'!D:D,'AP Plants'!B:B)</f>
        <v>Class 3</v>
      </c>
      <c r="AG467" s="102">
        <f>AD467*'Currency &amp; Conversion'!$L$6</f>
        <v>954.61565973422239</v>
      </c>
      <c r="AH467" s="102"/>
      <c r="AI467" s="44">
        <v>1.4999999999999999E-2</v>
      </c>
      <c r="AJ467" s="15">
        <f>_xlfn.XLOOKUP($AF467,Warranty!B:B,Warranty!E:E)</f>
        <v>1.4999999999999999E-2</v>
      </c>
      <c r="AK467" s="8">
        <f>IF($I467="AUD",VLOOKUP(RIGHT('Wk - Margins'!$G467,3),'AU Freight'!C:G,5,0),0)</f>
        <v>100</v>
      </c>
      <c r="AL467" s="15">
        <f t="shared" si="153"/>
        <v>0</v>
      </c>
      <c r="AM467" s="61">
        <f t="shared" si="151"/>
        <v>1083.254129526249</v>
      </c>
      <c r="AN467" s="63">
        <f t="shared" si="154"/>
        <v>0.15563392142436872</v>
      </c>
      <c r="AQ467" s="147"/>
    </row>
    <row r="468" spans="1:43">
      <c r="A468" s="10" t="str">
        <f>'Input - Bookings'!A468</f>
        <v>10-27</v>
      </c>
      <c r="B468" s="11" t="str">
        <f>'Input - Bookings'!C468</f>
        <v>P</v>
      </c>
      <c r="C468" s="11" t="str">
        <f>'Input - Bookings'!H468</f>
        <v>AU</v>
      </c>
      <c r="D468" s="24" t="str">
        <f>'Input - Bookings'!E468</f>
        <v>065</v>
      </c>
      <c r="E468" s="24" t="str">
        <f>'Input - Bookings'!G468</f>
        <v>ADAPT-A-LIFT GROUP (QLD)</v>
      </c>
      <c r="F468" s="146" t="str">
        <f>'Input - Bookings'!I468</f>
        <v>H68545</v>
      </c>
      <c r="G468" s="24" t="str">
        <f>'Input - Bookings'!L468</f>
        <v>A6W9</v>
      </c>
      <c r="H468" s="24" t="str">
        <f>'Input - Bookings'!M468</f>
        <v>PC1.5</v>
      </c>
      <c r="I468" s="24" t="str">
        <f>'Input - Bookings'!B468</f>
        <v>AUD</v>
      </c>
      <c r="J468" s="13" t="str">
        <f>IF(I468="USD",INDEX('AP Plants'!A:A,MATCH(G468,'AP Plants'!D:D,0)),INDEX('Australia Plants'!A:A,MATCH(G468,'Australia Plants'!D:D,0)))</f>
        <v>Staxx</v>
      </c>
      <c r="K468" s="73">
        <v>1</v>
      </c>
      <c r="L468" s="97">
        <v>2140</v>
      </c>
      <c r="M468" s="97">
        <v>1282.92</v>
      </c>
      <c r="N468" s="99">
        <v>0.15563392142436872</v>
      </c>
      <c r="O468" s="25">
        <f t="shared" si="144"/>
        <v>0.40050467289719627</v>
      </c>
      <c r="P468" s="14">
        <f>IFERROR(IF(OR(B468&amp;C468="PAU",B468&amp;C468="AIN"),VLOOKUP(B468&amp;C468&amp;G468,#REF!,8,0),VLOOKUP(B468&amp;G468,#REF!,8,0)),0)</f>
        <v>0</v>
      </c>
      <c r="Q468" s="15">
        <f t="shared" si="145"/>
        <v>0.15563392142436872</v>
      </c>
      <c r="R468" s="16" t="str">
        <f t="shared" si="146"/>
        <v>AOP</v>
      </c>
      <c r="S468" s="17">
        <f t="shared" si="155"/>
        <v>199.66587047375111</v>
      </c>
      <c r="T468" s="18" t="e">
        <f t="shared" si="147"/>
        <v>#DIV/0!</v>
      </c>
      <c r="U468" s="23" t="e">
        <f t="shared" si="152"/>
        <v>#DIV/0!</v>
      </c>
      <c r="Y468" s="8" t="str">
        <f t="shared" si="148"/>
        <v>PAUH68545PC1.5</v>
      </c>
      <c r="Z468" s="8" t="str">
        <f>IF(Y468='Input - Bookings'!Q701,"OK","Check")</f>
        <v>Check</v>
      </c>
      <c r="AA468" s="118"/>
      <c r="AB468" s="103"/>
      <c r="AC468" s="103"/>
      <c r="AD468" s="100">
        <f t="shared" si="156"/>
        <v>641.02582576834698</v>
      </c>
      <c r="AE468" s="100"/>
      <c r="AF468" s="8" t="str">
        <f t="array" ref="AF468">_xlfn.XLOOKUP($G468,'AP Plants'!D:D,'AP Plants'!B:B)</f>
        <v>Class 3</v>
      </c>
      <c r="AG468" s="102">
        <f>AD468*'Currency &amp; Conversion'!$L$6</f>
        <v>954.61565973422239</v>
      </c>
      <c r="AH468" s="102"/>
      <c r="AI468" s="44">
        <v>1.4999999999999999E-2</v>
      </c>
      <c r="AJ468" s="15">
        <f>_xlfn.XLOOKUP($AF468,Warranty!B:B,Warranty!E:E)</f>
        <v>1.4999999999999999E-2</v>
      </c>
      <c r="AK468" s="8">
        <f>IF($I468="AUD",VLOOKUP(RIGHT('Wk - Margins'!$G468,3),'AU Freight'!C:G,5,0),0)</f>
        <v>100</v>
      </c>
      <c r="AL468" s="15">
        <f t="shared" si="153"/>
        <v>0</v>
      </c>
      <c r="AM468" s="61">
        <f t="shared" si="151"/>
        <v>1083.254129526249</v>
      </c>
      <c r="AN468" s="63">
        <f t="shared" si="154"/>
        <v>0.15563392142436872</v>
      </c>
      <c r="AQ468" s="147"/>
    </row>
    <row r="469" spans="1:43">
      <c r="A469" s="10" t="str">
        <f>'Input - Bookings'!A469</f>
        <v>10-27</v>
      </c>
      <c r="B469" s="11" t="str">
        <f>'Input - Bookings'!C469</f>
        <v>P</v>
      </c>
      <c r="C469" s="11" t="str">
        <f>'Input - Bookings'!H469</f>
        <v>AU</v>
      </c>
      <c r="D469" s="24" t="str">
        <f>'Input - Bookings'!E469</f>
        <v>065</v>
      </c>
      <c r="E469" s="24" t="str">
        <f>'Input - Bookings'!G469</f>
        <v>ADAPT-A-LIFT GROUP (QLD)</v>
      </c>
      <c r="F469" s="146" t="str">
        <f>'Input - Bookings'!I469</f>
        <v>H68546</v>
      </c>
      <c r="G469" s="24" t="str">
        <f>'Input - Bookings'!L469</f>
        <v>A6W9</v>
      </c>
      <c r="H469" s="24" t="str">
        <f>'Input - Bookings'!M469</f>
        <v>PC1.5</v>
      </c>
      <c r="I469" s="24" t="str">
        <f>'Input - Bookings'!B469</f>
        <v>AUD</v>
      </c>
      <c r="J469" s="13" t="str">
        <f>IF(I469="USD",INDEX('AP Plants'!A:A,MATCH(G469,'AP Plants'!D:D,0)),INDEX('Australia Plants'!A:A,MATCH(G469,'Australia Plants'!D:D,0)))</f>
        <v>Staxx</v>
      </c>
      <c r="K469" s="73">
        <v>1</v>
      </c>
      <c r="L469" s="97">
        <v>2140</v>
      </c>
      <c r="M469" s="97">
        <v>1282.92</v>
      </c>
      <c r="N469" s="99">
        <v>0.15563392142436872</v>
      </c>
      <c r="O469" s="25">
        <f t="shared" ref="O469:O532" si="157">1-M469/L469</f>
        <v>0.40050467289719627</v>
      </c>
      <c r="P469" s="14">
        <f>IFERROR(IF(OR(B469&amp;C469="PAU",B469&amp;C469="AIN"),VLOOKUP(B469&amp;C469&amp;G469,#REF!,8,0),VLOOKUP(B469&amp;G469,#REF!,8,0)),0)</f>
        <v>0</v>
      </c>
      <c r="Q469" s="15">
        <f t="shared" ref="Q469:Q532" si="158">N469-P469</f>
        <v>0.15563392142436872</v>
      </c>
      <c r="R469" s="16" t="str">
        <f t="shared" ref="R469:R532" si="159">IF(Q469&gt;=0%,"AOP",IF(Q469&gt;=-2%,"GM",IF(Q469&gt;=-6%,"MD","VP")))</f>
        <v>AOP</v>
      </c>
      <c r="S469" s="17">
        <f t="shared" si="155"/>
        <v>199.66587047375111</v>
      </c>
      <c r="T469" s="18" t="e">
        <f t="shared" ref="T469:T532" si="160">IF(I469="USD",S469,S469/$X$6)</f>
        <v>#DIV/0!</v>
      </c>
      <c r="U469" s="23" t="e">
        <f t="shared" si="152"/>
        <v>#DIV/0!</v>
      </c>
      <c r="Y469" s="8" t="str">
        <f t="shared" ref="Y469:Y532" si="161">B469&amp;C469&amp;F469&amp;H469</f>
        <v>PAUH68546PC1.5</v>
      </c>
      <c r="Z469" s="8" t="str">
        <f>IF(Y469='Input - Bookings'!Q702,"OK","Check")</f>
        <v>Check</v>
      </c>
      <c r="AA469" s="118"/>
      <c r="AB469" s="103"/>
      <c r="AC469" s="103"/>
      <c r="AD469" s="100">
        <f t="shared" si="156"/>
        <v>641.02582576834698</v>
      </c>
      <c r="AE469" s="100"/>
      <c r="AF469" s="8" t="str">
        <f t="array" ref="AF469">_xlfn.XLOOKUP($G469,'AP Plants'!D:D,'AP Plants'!B:B)</f>
        <v>Class 3</v>
      </c>
      <c r="AG469" s="102">
        <f>AD469*'Currency &amp; Conversion'!$L$6</f>
        <v>954.61565973422239</v>
      </c>
      <c r="AH469" s="102"/>
      <c r="AI469" s="44">
        <v>1.4999999999999999E-2</v>
      </c>
      <c r="AJ469" s="15">
        <f>_xlfn.XLOOKUP($AF469,Warranty!B:B,Warranty!E:E)</f>
        <v>1.4999999999999999E-2</v>
      </c>
      <c r="AK469" s="8">
        <f>IF($I469="AUD",VLOOKUP(RIGHT('Wk - Margins'!$G469,3),'AU Freight'!C:G,5,0),0)</f>
        <v>100</v>
      </c>
      <c r="AL469" s="15">
        <f t="shared" si="153"/>
        <v>0</v>
      </c>
      <c r="AM469" s="61">
        <f t="shared" si="151"/>
        <v>1083.254129526249</v>
      </c>
      <c r="AN469" s="63">
        <f t="shared" si="154"/>
        <v>0.15563392142436872</v>
      </c>
      <c r="AQ469" s="147"/>
    </row>
    <row r="470" spans="1:43">
      <c r="A470" s="10" t="str">
        <f>'Input - Bookings'!A470</f>
        <v>10-27</v>
      </c>
      <c r="B470" s="11" t="str">
        <f>'Input - Bookings'!C470</f>
        <v>P</v>
      </c>
      <c r="C470" s="11" t="str">
        <f>'Input - Bookings'!H470</f>
        <v>AU</v>
      </c>
      <c r="D470" s="24" t="str">
        <f>'Input - Bookings'!E470</f>
        <v>065</v>
      </c>
      <c r="E470" s="24" t="str">
        <f>'Input - Bookings'!G470</f>
        <v>ADAPT-A-LIFT GROUP (QLD)</v>
      </c>
      <c r="F470" s="146" t="str">
        <f>'Input - Bookings'!I470</f>
        <v>H68547</v>
      </c>
      <c r="G470" s="24" t="str">
        <f>'Input - Bookings'!L470</f>
        <v>A6W9</v>
      </c>
      <c r="H470" s="24" t="str">
        <f>'Input - Bookings'!M470</f>
        <v>PC1.5</v>
      </c>
      <c r="I470" s="24" t="str">
        <f>'Input - Bookings'!B470</f>
        <v>AUD</v>
      </c>
      <c r="J470" s="13" t="str">
        <f>IF(I470="USD",INDEX('AP Plants'!A:A,MATCH(G470,'AP Plants'!D:D,0)),INDEX('Australia Plants'!A:A,MATCH(G470,'Australia Plants'!D:D,0)))</f>
        <v>Staxx</v>
      </c>
      <c r="K470" s="73">
        <v>1</v>
      </c>
      <c r="L470" s="97">
        <v>2140</v>
      </c>
      <c r="M470" s="97">
        <v>1282.92</v>
      </c>
      <c r="N470" s="99">
        <v>0.15563392142436872</v>
      </c>
      <c r="O470" s="25">
        <f t="shared" si="157"/>
        <v>0.40050467289719627</v>
      </c>
      <c r="P470" s="14">
        <f>IFERROR(IF(OR(B470&amp;C470="PAU",B470&amp;C470="AIN"),VLOOKUP(B470&amp;C470&amp;G470,#REF!,8,0),VLOOKUP(B470&amp;G470,#REF!,8,0)),0)</f>
        <v>0</v>
      </c>
      <c r="Q470" s="15">
        <f t="shared" si="158"/>
        <v>0.15563392142436872</v>
      </c>
      <c r="R470" s="16" t="str">
        <f t="shared" si="159"/>
        <v>AOP</v>
      </c>
      <c r="S470" s="17">
        <f t="shared" si="155"/>
        <v>199.66587047375111</v>
      </c>
      <c r="T470" s="18" t="e">
        <f t="shared" si="160"/>
        <v>#DIV/0!</v>
      </c>
      <c r="U470" s="23" t="e">
        <f t="shared" si="152"/>
        <v>#DIV/0!</v>
      </c>
      <c r="Y470" s="8" t="str">
        <f t="shared" si="161"/>
        <v>PAUH68547PC1.5</v>
      </c>
      <c r="Z470" s="8" t="str">
        <f>IF(Y470='Input - Bookings'!Q703,"OK","Check")</f>
        <v>Check</v>
      </c>
      <c r="AA470" s="118"/>
      <c r="AB470" s="103"/>
      <c r="AC470" s="103"/>
      <c r="AD470" s="100">
        <f t="shared" si="156"/>
        <v>641.02582576834698</v>
      </c>
      <c r="AE470" s="100"/>
      <c r="AF470" s="8" t="str">
        <f t="array" ref="AF470">_xlfn.XLOOKUP($G470,'AP Plants'!D:D,'AP Plants'!B:B)</f>
        <v>Class 3</v>
      </c>
      <c r="AG470" s="102">
        <f>AD470*'Currency &amp; Conversion'!$L$6</f>
        <v>954.61565973422239</v>
      </c>
      <c r="AH470" s="102"/>
      <c r="AI470" s="44">
        <v>1.4999999999999999E-2</v>
      </c>
      <c r="AJ470" s="15">
        <f>_xlfn.XLOOKUP($AF470,Warranty!B:B,Warranty!E:E)</f>
        <v>1.4999999999999999E-2</v>
      </c>
      <c r="AK470" s="8">
        <f>IF($I470="AUD",VLOOKUP(RIGHT('Wk - Margins'!$G470,3),'AU Freight'!C:G,5,0),0)</f>
        <v>100</v>
      </c>
      <c r="AL470" s="15">
        <f t="shared" si="153"/>
        <v>0</v>
      </c>
      <c r="AM470" s="61">
        <f t="shared" si="151"/>
        <v>1083.254129526249</v>
      </c>
      <c r="AN470" s="63">
        <f t="shared" si="154"/>
        <v>0.15563392142436872</v>
      </c>
      <c r="AQ470" s="147"/>
    </row>
    <row r="471" spans="1:43">
      <c r="A471" s="10" t="str">
        <f>'Input - Bookings'!A471</f>
        <v>10-27</v>
      </c>
      <c r="B471" s="11" t="str">
        <f>'Input - Bookings'!C471</f>
        <v>P</v>
      </c>
      <c r="C471" s="11" t="str">
        <f>'Input - Bookings'!H471</f>
        <v>AU</v>
      </c>
      <c r="D471" s="24" t="str">
        <f>'Input - Bookings'!E471</f>
        <v>065</v>
      </c>
      <c r="E471" s="24" t="str">
        <f>'Input - Bookings'!G471</f>
        <v>ADAPT-A-LIFT GROUP (VIC)</v>
      </c>
      <c r="F471" s="146" t="str">
        <f>'Input - Bookings'!I471</f>
        <v>H68548</v>
      </c>
      <c r="G471" s="24" t="str">
        <f>'Input - Bookings'!L471</f>
        <v>A6W9</v>
      </c>
      <c r="H471" s="24" t="str">
        <f>'Input - Bookings'!M471</f>
        <v>PC1.5</v>
      </c>
      <c r="I471" s="24" t="str">
        <f>'Input - Bookings'!B471</f>
        <v>AUD</v>
      </c>
      <c r="J471" s="13" t="str">
        <f>IF(I471="USD",INDEX('AP Plants'!A:A,MATCH(G471,'AP Plants'!D:D,0)),INDEX('Australia Plants'!A:A,MATCH(G471,'Australia Plants'!D:D,0)))</f>
        <v>Staxx</v>
      </c>
      <c r="K471" s="73">
        <v>1</v>
      </c>
      <c r="L471" s="97">
        <v>2140</v>
      </c>
      <c r="M471" s="97">
        <v>1282.92</v>
      </c>
      <c r="N471" s="99">
        <v>0.15563392142436872</v>
      </c>
      <c r="O471" s="25">
        <f t="shared" si="157"/>
        <v>0.40050467289719627</v>
      </c>
      <c r="P471" s="14">
        <f>IFERROR(IF(OR(B471&amp;C471="PAU",B471&amp;C471="AIN"),VLOOKUP(B471&amp;C471&amp;G471,#REF!,8,0),VLOOKUP(B471&amp;G471,#REF!,8,0)),0)</f>
        <v>0</v>
      </c>
      <c r="Q471" s="15">
        <f t="shared" si="158"/>
        <v>0.15563392142436872</v>
      </c>
      <c r="R471" s="16" t="str">
        <f t="shared" si="159"/>
        <v>AOP</v>
      </c>
      <c r="S471" s="17">
        <f t="shared" si="155"/>
        <v>199.66587047375111</v>
      </c>
      <c r="T471" s="18" t="e">
        <f t="shared" si="160"/>
        <v>#DIV/0!</v>
      </c>
      <c r="U471" s="23" t="e">
        <f t="shared" si="152"/>
        <v>#DIV/0!</v>
      </c>
      <c r="Y471" s="8" t="str">
        <f t="shared" si="161"/>
        <v>PAUH68548PC1.5</v>
      </c>
      <c r="Z471" s="8" t="str">
        <f>IF(Y471='Input - Bookings'!Q704,"OK","Check")</f>
        <v>Check</v>
      </c>
      <c r="AA471" s="118"/>
      <c r="AB471" s="103"/>
      <c r="AC471" s="103"/>
      <c r="AD471" s="100">
        <f t="shared" si="156"/>
        <v>641.02582576834698</v>
      </c>
      <c r="AE471" s="110"/>
      <c r="AF471" s="8" t="str">
        <f t="array" ref="AF471">_xlfn.XLOOKUP($G471,'AP Plants'!D:D,'AP Plants'!B:B)</f>
        <v>Class 3</v>
      </c>
      <c r="AG471" s="102">
        <f>AD471*'Currency &amp; Conversion'!$L$6</f>
        <v>954.61565973422239</v>
      </c>
      <c r="AH471" s="102"/>
      <c r="AI471" s="44">
        <v>1.4999999999999999E-2</v>
      </c>
      <c r="AJ471" s="15">
        <f>_xlfn.XLOOKUP($AF471,Warranty!B:B,Warranty!E:E)</f>
        <v>1.4999999999999999E-2</v>
      </c>
      <c r="AK471" s="8">
        <f>IF($I471="AUD",VLOOKUP(RIGHT('Wk - Margins'!$G471,3),'AU Freight'!C:G,5,0),0)</f>
        <v>100</v>
      </c>
      <c r="AL471" s="15">
        <f t="shared" si="153"/>
        <v>0</v>
      </c>
      <c r="AM471" s="61">
        <f t="shared" si="151"/>
        <v>1083.254129526249</v>
      </c>
      <c r="AN471" s="63">
        <f t="shared" si="154"/>
        <v>0.15563392142436872</v>
      </c>
      <c r="AQ471" s="147"/>
    </row>
    <row r="472" spans="1:43">
      <c r="A472" s="10" t="str">
        <f>'Input - Bookings'!A472</f>
        <v>10-27</v>
      </c>
      <c r="B472" s="11" t="str">
        <f>'Input - Bookings'!C472</f>
        <v>P</v>
      </c>
      <c r="C472" s="11" t="str">
        <f>'Input - Bookings'!H472</f>
        <v>AU</v>
      </c>
      <c r="D472" s="24" t="str">
        <f>'Input - Bookings'!E472</f>
        <v>065</v>
      </c>
      <c r="E472" s="24" t="str">
        <f>'Input - Bookings'!G472</f>
        <v>ADAPT-A-LIFT GROUP (VIC)</v>
      </c>
      <c r="F472" s="146" t="str">
        <f>'Input - Bookings'!I472</f>
        <v>H68549</v>
      </c>
      <c r="G472" s="24" t="str">
        <f>'Input - Bookings'!L472</f>
        <v>A6W9</v>
      </c>
      <c r="H472" s="24" t="str">
        <f>'Input - Bookings'!M472</f>
        <v>PC1.5</v>
      </c>
      <c r="I472" s="24" t="str">
        <f>'Input - Bookings'!B472</f>
        <v>AUD</v>
      </c>
      <c r="J472" s="13" t="str">
        <f>IF(I472="USD",INDEX('AP Plants'!A:A,MATCH(G472,'AP Plants'!D:D,0)),INDEX('Australia Plants'!A:A,MATCH(G472,'Australia Plants'!D:D,0)))</f>
        <v>Staxx</v>
      </c>
      <c r="K472" s="73">
        <v>1</v>
      </c>
      <c r="L472" s="97">
        <v>2140</v>
      </c>
      <c r="M472" s="97">
        <v>1282.92</v>
      </c>
      <c r="N472" s="99">
        <v>0.15563392142436872</v>
      </c>
      <c r="O472" s="25">
        <f t="shared" si="157"/>
        <v>0.40050467289719627</v>
      </c>
      <c r="P472" s="14">
        <f>IFERROR(IF(OR(B472&amp;C472="PAU",B472&amp;C472="AIN"),VLOOKUP(B472&amp;C472&amp;G472,#REF!,8,0),VLOOKUP(B472&amp;G472,#REF!,8,0)),0)</f>
        <v>0</v>
      </c>
      <c r="Q472" s="15">
        <f t="shared" si="158"/>
        <v>0.15563392142436872</v>
      </c>
      <c r="R472" s="16" t="str">
        <f t="shared" si="159"/>
        <v>AOP</v>
      </c>
      <c r="S472" s="17">
        <f t="shared" si="155"/>
        <v>199.66587047375111</v>
      </c>
      <c r="T472" s="18" t="e">
        <f t="shared" si="160"/>
        <v>#DIV/0!</v>
      </c>
      <c r="U472" s="23" t="e">
        <f t="shared" si="152"/>
        <v>#DIV/0!</v>
      </c>
      <c r="Y472" s="8" t="str">
        <f t="shared" si="161"/>
        <v>PAUH68549PC1.5</v>
      </c>
      <c r="Z472" s="8" t="str">
        <f>IF(Y472='Input - Bookings'!Q705,"OK","Check")</f>
        <v>Check</v>
      </c>
      <c r="AA472" s="118"/>
      <c r="AB472" s="103"/>
      <c r="AC472" s="103"/>
      <c r="AD472" s="100">
        <f t="shared" si="156"/>
        <v>641.02582576834698</v>
      </c>
      <c r="AE472" s="110"/>
      <c r="AF472" s="8" t="str">
        <f t="array" ref="AF472">_xlfn.XLOOKUP($G472,'AP Plants'!D:D,'AP Plants'!B:B)</f>
        <v>Class 3</v>
      </c>
      <c r="AG472" s="102">
        <f>AD472*'Currency &amp; Conversion'!$L$6</f>
        <v>954.61565973422239</v>
      </c>
      <c r="AH472" s="102"/>
      <c r="AI472" s="44">
        <v>1.4999999999999999E-2</v>
      </c>
      <c r="AJ472" s="15">
        <f>_xlfn.XLOOKUP($AF472,Warranty!B:B,Warranty!E:E)</f>
        <v>1.4999999999999999E-2</v>
      </c>
      <c r="AK472" s="8">
        <f>IF($I472="AUD",VLOOKUP(RIGHT('Wk - Margins'!$G472,3),'AU Freight'!C:G,5,0),0)</f>
        <v>100</v>
      </c>
      <c r="AL472" s="15">
        <f t="shared" si="153"/>
        <v>0</v>
      </c>
      <c r="AM472" s="61">
        <f t="shared" si="151"/>
        <v>1083.254129526249</v>
      </c>
      <c r="AN472" s="63">
        <f t="shared" si="154"/>
        <v>0.15563392142436872</v>
      </c>
      <c r="AQ472" s="147"/>
    </row>
    <row r="473" spans="1:43">
      <c r="A473" s="10" t="str">
        <f>'Input - Bookings'!A473</f>
        <v>10-27</v>
      </c>
      <c r="B473" s="11" t="str">
        <f>'Input - Bookings'!C473</f>
        <v>P</v>
      </c>
      <c r="C473" s="11" t="str">
        <f>'Input - Bookings'!H473</f>
        <v>AU</v>
      </c>
      <c r="D473" s="24" t="str">
        <f>'Input - Bookings'!E473</f>
        <v>065</v>
      </c>
      <c r="E473" s="24" t="str">
        <f>'Input - Bookings'!G473</f>
        <v>ADAPT-A-LIFT GROUP (VIC)</v>
      </c>
      <c r="F473" s="146" t="str">
        <f>'Input - Bookings'!I473</f>
        <v>H68550</v>
      </c>
      <c r="G473" s="24" t="str">
        <f>'Input - Bookings'!L473</f>
        <v>A6W9</v>
      </c>
      <c r="H473" s="24" t="str">
        <f>'Input - Bookings'!M473</f>
        <v>PC1.5</v>
      </c>
      <c r="I473" s="24" t="str">
        <f>'Input - Bookings'!B473</f>
        <v>AUD</v>
      </c>
      <c r="J473" s="13" t="str">
        <f>IF(I473="USD",INDEX('AP Plants'!A:A,MATCH(G473,'AP Plants'!D:D,0)),INDEX('Australia Plants'!A:A,MATCH(G473,'Australia Plants'!D:D,0)))</f>
        <v>Staxx</v>
      </c>
      <c r="K473" s="73">
        <v>1</v>
      </c>
      <c r="L473" s="97">
        <v>2140</v>
      </c>
      <c r="M473" s="97">
        <v>1282.92</v>
      </c>
      <c r="N473" s="99">
        <v>0.15563392142436872</v>
      </c>
      <c r="O473" s="25">
        <f t="shared" si="157"/>
        <v>0.40050467289719627</v>
      </c>
      <c r="P473" s="14">
        <f>IFERROR(IF(OR(B473&amp;C473="PAU",B473&amp;C473="AIN"),VLOOKUP(B473&amp;C473&amp;G473,#REF!,8,0),VLOOKUP(B473&amp;G473,#REF!,8,0)),0)</f>
        <v>0</v>
      </c>
      <c r="Q473" s="15">
        <f t="shared" si="158"/>
        <v>0.15563392142436872</v>
      </c>
      <c r="R473" s="16" t="str">
        <f t="shared" si="159"/>
        <v>AOP</v>
      </c>
      <c r="S473" s="17">
        <f t="shared" si="155"/>
        <v>199.66587047375111</v>
      </c>
      <c r="T473" s="18" t="e">
        <f t="shared" si="160"/>
        <v>#DIV/0!</v>
      </c>
      <c r="U473" s="23" t="e">
        <f t="shared" si="152"/>
        <v>#DIV/0!</v>
      </c>
      <c r="Y473" s="8" t="str">
        <f t="shared" si="161"/>
        <v>PAUH68550PC1.5</v>
      </c>
      <c r="Z473" s="8" t="str">
        <f>IF(Y473='Input - Bookings'!Q706,"OK","Check")</f>
        <v>Check</v>
      </c>
      <c r="AA473" s="118"/>
      <c r="AB473" s="103"/>
      <c r="AC473" s="103"/>
      <c r="AD473" s="100">
        <f t="shared" si="156"/>
        <v>641.02582576834698</v>
      </c>
      <c r="AE473" s="110"/>
      <c r="AF473" s="8" t="str">
        <f t="array" ref="AF473">_xlfn.XLOOKUP($G473,'AP Plants'!D:D,'AP Plants'!B:B)</f>
        <v>Class 3</v>
      </c>
      <c r="AG473" s="102">
        <f>AD473*'Currency &amp; Conversion'!$L$6</f>
        <v>954.61565973422239</v>
      </c>
      <c r="AH473" s="102"/>
      <c r="AI473" s="44">
        <v>1.4999999999999999E-2</v>
      </c>
      <c r="AJ473" s="15">
        <f>_xlfn.XLOOKUP($AF473,Warranty!B:B,Warranty!E:E)</f>
        <v>1.4999999999999999E-2</v>
      </c>
      <c r="AK473" s="8">
        <f>IF($I473="AUD",VLOOKUP(RIGHT('Wk - Margins'!$G473,3),'AU Freight'!C:G,5,0),0)</f>
        <v>100</v>
      </c>
      <c r="AL473" s="15">
        <f t="shared" si="153"/>
        <v>0</v>
      </c>
      <c r="AM473" s="61">
        <f t="shared" si="151"/>
        <v>1083.254129526249</v>
      </c>
      <c r="AN473" s="63">
        <f t="shared" si="154"/>
        <v>0.15563392142436872</v>
      </c>
      <c r="AQ473" s="147"/>
    </row>
    <row r="474" spans="1:43">
      <c r="A474" s="10" t="str">
        <f>'Input - Bookings'!A474</f>
        <v>10-27</v>
      </c>
      <c r="B474" s="11" t="str">
        <f>'Input - Bookings'!C474</f>
        <v>P</v>
      </c>
      <c r="C474" s="11" t="str">
        <f>'Input - Bookings'!H474</f>
        <v>AU</v>
      </c>
      <c r="D474" s="24" t="str">
        <f>'Input - Bookings'!E474</f>
        <v>065</v>
      </c>
      <c r="E474" s="24" t="str">
        <f>'Input - Bookings'!G474</f>
        <v>ADAPT-A-LIFT GROUP (VIC)</v>
      </c>
      <c r="F474" s="146" t="str">
        <f>'Input - Bookings'!I474</f>
        <v>H68551</v>
      </c>
      <c r="G474" s="24" t="str">
        <f>'Input - Bookings'!L474</f>
        <v>A6W9</v>
      </c>
      <c r="H474" s="24" t="str">
        <f>'Input - Bookings'!M474</f>
        <v>PC1.5</v>
      </c>
      <c r="I474" s="24" t="str">
        <f>'Input - Bookings'!B474</f>
        <v>AUD</v>
      </c>
      <c r="J474" s="13" t="str">
        <f>IF(I474="USD",INDEX('AP Plants'!A:A,MATCH(G474,'AP Plants'!D:D,0)),INDEX('Australia Plants'!A:A,MATCH(G474,'Australia Plants'!D:D,0)))</f>
        <v>Staxx</v>
      </c>
      <c r="K474" s="73">
        <v>1</v>
      </c>
      <c r="L474" s="97">
        <v>2140</v>
      </c>
      <c r="M474" s="97">
        <v>1282.92</v>
      </c>
      <c r="N474" s="99">
        <v>0.15563392142436872</v>
      </c>
      <c r="O474" s="25">
        <f t="shared" si="157"/>
        <v>0.40050467289719627</v>
      </c>
      <c r="P474" s="14">
        <f>IFERROR(IF(OR(B474&amp;C474="PAU",B474&amp;C474="AIN"),VLOOKUP(B474&amp;C474&amp;G474,#REF!,8,0),VLOOKUP(B474&amp;G474,#REF!,8,0)),0)</f>
        <v>0</v>
      </c>
      <c r="Q474" s="15">
        <f t="shared" si="158"/>
        <v>0.15563392142436872</v>
      </c>
      <c r="R474" s="16" t="str">
        <f t="shared" si="159"/>
        <v>AOP</v>
      </c>
      <c r="S474" s="17">
        <f t="shared" si="155"/>
        <v>199.66587047375111</v>
      </c>
      <c r="T474" s="18" t="e">
        <f t="shared" si="160"/>
        <v>#DIV/0!</v>
      </c>
      <c r="U474" s="23" t="e">
        <f t="shared" si="152"/>
        <v>#DIV/0!</v>
      </c>
      <c r="Y474" s="8" t="str">
        <f t="shared" si="161"/>
        <v>PAUH68551PC1.5</v>
      </c>
      <c r="Z474" s="8" t="str">
        <f>IF(Y474='Input - Bookings'!Q707,"OK","Check")</f>
        <v>Check</v>
      </c>
      <c r="AA474" s="118"/>
      <c r="AB474" s="103"/>
      <c r="AC474" s="103"/>
      <c r="AD474" s="100">
        <f t="shared" ref="AD474:AD520" si="162">608.025825768347+33</f>
        <v>641.02582576834698</v>
      </c>
      <c r="AE474" s="100"/>
      <c r="AF474" s="8" t="str">
        <f t="array" ref="AF474">_xlfn.XLOOKUP($G474,'AP Plants'!D:D,'AP Plants'!B:B)</f>
        <v>Class 3</v>
      </c>
      <c r="AG474" s="102">
        <f>AD474*'Currency &amp; Conversion'!$L$6</f>
        <v>954.61565973422239</v>
      </c>
      <c r="AH474" s="102"/>
      <c r="AI474" s="44">
        <v>1.4999999999999999E-2</v>
      </c>
      <c r="AJ474" s="15">
        <f>_xlfn.XLOOKUP($AF474,Warranty!B:B,Warranty!E:E)</f>
        <v>1.4999999999999999E-2</v>
      </c>
      <c r="AK474" s="8">
        <f>IF($I474="AUD",VLOOKUP(RIGHT('Wk - Margins'!$G474,3),'AU Freight'!C:G,5,0),0)</f>
        <v>100</v>
      </c>
      <c r="AL474" s="15">
        <f t="shared" si="153"/>
        <v>0</v>
      </c>
      <c r="AM474" s="61">
        <f t="shared" si="151"/>
        <v>1083.254129526249</v>
      </c>
      <c r="AN474" s="63">
        <f t="shared" si="154"/>
        <v>0.15563392142436872</v>
      </c>
      <c r="AQ474" s="147"/>
    </row>
    <row r="475" spans="1:43">
      <c r="A475" s="10" t="str">
        <f>'Input - Bookings'!A475</f>
        <v>10-27</v>
      </c>
      <c r="B475" s="11" t="str">
        <f>'Input - Bookings'!C475</f>
        <v>P</v>
      </c>
      <c r="C475" s="11" t="str">
        <f>'Input - Bookings'!H475</f>
        <v>AU</v>
      </c>
      <c r="D475" s="24" t="str">
        <f>'Input - Bookings'!E475</f>
        <v>065</v>
      </c>
      <c r="E475" s="24" t="str">
        <f>'Input - Bookings'!G475</f>
        <v>ADAPT-A-LIFT GROUP (VIC)</v>
      </c>
      <c r="F475" s="146" t="str">
        <f>'Input - Bookings'!I475</f>
        <v>H68552</v>
      </c>
      <c r="G475" s="24" t="str">
        <f>'Input - Bookings'!L475</f>
        <v>A6W9</v>
      </c>
      <c r="H475" s="24" t="str">
        <f>'Input - Bookings'!M475</f>
        <v>PC1.5</v>
      </c>
      <c r="I475" s="24" t="str">
        <f>'Input - Bookings'!B475</f>
        <v>AUD</v>
      </c>
      <c r="J475" s="13" t="str">
        <f>IF(I475="USD",INDEX('AP Plants'!A:A,MATCH(G475,'AP Plants'!D:D,0)),INDEX('Australia Plants'!A:A,MATCH(G475,'Australia Plants'!D:D,0)))</f>
        <v>Staxx</v>
      </c>
      <c r="K475" s="73">
        <v>1</v>
      </c>
      <c r="L475" s="97">
        <v>2140</v>
      </c>
      <c r="M475" s="97">
        <v>1282.92</v>
      </c>
      <c r="N475" s="99">
        <v>0.15563392142436872</v>
      </c>
      <c r="O475" s="25">
        <f t="shared" si="157"/>
        <v>0.40050467289719627</v>
      </c>
      <c r="P475" s="14">
        <f>IFERROR(IF(OR(B475&amp;C475="PAU",B475&amp;C475="AIN"),VLOOKUP(B475&amp;C475&amp;G475,#REF!,8,0),VLOOKUP(B475&amp;G475,#REF!,8,0)),0)</f>
        <v>0</v>
      </c>
      <c r="Q475" s="15">
        <f t="shared" si="158"/>
        <v>0.15563392142436872</v>
      </c>
      <c r="R475" s="16" t="str">
        <f t="shared" si="159"/>
        <v>AOP</v>
      </c>
      <c r="S475" s="17">
        <f t="shared" si="155"/>
        <v>199.66587047375111</v>
      </c>
      <c r="T475" s="18" t="e">
        <f t="shared" si="160"/>
        <v>#DIV/0!</v>
      </c>
      <c r="U475" s="23" t="e">
        <f t="shared" si="152"/>
        <v>#DIV/0!</v>
      </c>
      <c r="Y475" s="8" t="str">
        <f t="shared" si="161"/>
        <v>PAUH68552PC1.5</v>
      </c>
      <c r="Z475" s="8" t="str">
        <f>IF(Y475='Input - Bookings'!Q708,"OK","Check")</f>
        <v>Check</v>
      </c>
      <c r="AA475" s="118"/>
      <c r="AB475" s="103"/>
      <c r="AC475" s="103"/>
      <c r="AD475" s="100">
        <f t="shared" si="162"/>
        <v>641.02582576834698</v>
      </c>
      <c r="AE475" s="100"/>
      <c r="AF475" s="8" t="str">
        <f t="array" ref="AF475">_xlfn.XLOOKUP($G475,'AP Plants'!D:D,'AP Plants'!B:B)</f>
        <v>Class 3</v>
      </c>
      <c r="AG475" s="102">
        <f>AD475*'Currency &amp; Conversion'!$L$6</f>
        <v>954.61565973422239</v>
      </c>
      <c r="AH475" s="102"/>
      <c r="AI475" s="44">
        <v>1.4999999999999999E-2</v>
      </c>
      <c r="AJ475" s="15">
        <f>_xlfn.XLOOKUP($AF475,Warranty!B:B,Warranty!E:E)</f>
        <v>1.4999999999999999E-2</v>
      </c>
      <c r="AK475" s="8">
        <f>IF($I475="AUD",VLOOKUP(RIGHT('Wk - Margins'!$G475,3),'AU Freight'!C:G,5,0),0)</f>
        <v>100</v>
      </c>
      <c r="AL475" s="15">
        <f t="shared" si="153"/>
        <v>0</v>
      </c>
      <c r="AM475" s="61">
        <f t="shared" si="151"/>
        <v>1083.254129526249</v>
      </c>
      <c r="AN475" s="63">
        <f t="shared" si="154"/>
        <v>0.15563392142436872</v>
      </c>
      <c r="AQ475" s="147"/>
    </row>
    <row r="476" spans="1:43">
      <c r="A476" s="10" t="str">
        <f>'Input - Bookings'!A476</f>
        <v>10-27</v>
      </c>
      <c r="B476" s="11" t="str">
        <f>'Input - Bookings'!C476</f>
        <v>P</v>
      </c>
      <c r="C476" s="11" t="str">
        <f>'Input - Bookings'!H476</f>
        <v>AU</v>
      </c>
      <c r="D476" s="24" t="str">
        <f>'Input - Bookings'!E476</f>
        <v>065</v>
      </c>
      <c r="E476" s="24" t="str">
        <f>'Input - Bookings'!G476</f>
        <v>ADAPT-A-LIFT GROUP (VIC)</v>
      </c>
      <c r="F476" s="146" t="str">
        <f>'Input - Bookings'!I476</f>
        <v>H68553</v>
      </c>
      <c r="G476" s="24" t="str">
        <f>'Input - Bookings'!L476</f>
        <v>A6W9</v>
      </c>
      <c r="H476" s="24" t="str">
        <f>'Input - Bookings'!M476</f>
        <v>PC1.5</v>
      </c>
      <c r="I476" s="24" t="str">
        <f>'Input - Bookings'!B476</f>
        <v>AUD</v>
      </c>
      <c r="J476" s="13" t="str">
        <f>IF(I476="USD",INDEX('AP Plants'!A:A,MATCH(G476,'AP Plants'!D:D,0)),INDEX('Australia Plants'!A:A,MATCH(G476,'Australia Plants'!D:D,0)))</f>
        <v>Staxx</v>
      </c>
      <c r="K476" s="73">
        <v>1</v>
      </c>
      <c r="L476" s="97">
        <v>2140</v>
      </c>
      <c r="M476" s="97">
        <v>1282.92</v>
      </c>
      <c r="N476" s="99">
        <v>0.15563392142436872</v>
      </c>
      <c r="O476" s="25">
        <f t="shared" si="157"/>
        <v>0.40050467289719627</v>
      </c>
      <c r="P476" s="14">
        <f>IFERROR(IF(OR(B476&amp;C476="PAU",B476&amp;C476="AIN"),VLOOKUP(B476&amp;C476&amp;G476,#REF!,8,0),VLOOKUP(B476&amp;G476,#REF!,8,0)),0)</f>
        <v>0</v>
      </c>
      <c r="Q476" s="15">
        <f t="shared" si="158"/>
        <v>0.15563392142436872</v>
      </c>
      <c r="R476" s="16" t="str">
        <f t="shared" si="159"/>
        <v>AOP</v>
      </c>
      <c r="S476" s="17">
        <f t="shared" si="155"/>
        <v>199.66587047375111</v>
      </c>
      <c r="T476" s="18" t="e">
        <f t="shared" si="160"/>
        <v>#DIV/0!</v>
      </c>
      <c r="U476" s="23" t="e">
        <f t="shared" si="152"/>
        <v>#DIV/0!</v>
      </c>
      <c r="Y476" s="8" t="str">
        <f t="shared" si="161"/>
        <v>PAUH68553PC1.5</v>
      </c>
      <c r="Z476" s="8" t="str">
        <f>IF(Y476='Input - Bookings'!Q709,"OK","Check")</f>
        <v>Check</v>
      </c>
      <c r="AA476" s="118"/>
      <c r="AB476" s="103"/>
      <c r="AC476" s="103"/>
      <c r="AD476" s="100">
        <f t="shared" si="162"/>
        <v>641.02582576834698</v>
      </c>
      <c r="AE476" s="100"/>
      <c r="AF476" s="8" t="str">
        <f t="array" ref="AF476">_xlfn.XLOOKUP($G476,'AP Plants'!D:D,'AP Plants'!B:B)</f>
        <v>Class 3</v>
      </c>
      <c r="AG476" s="102">
        <f>AD476*'Currency &amp; Conversion'!$L$6</f>
        <v>954.61565973422239</v>
      </c>
      <c r="AH476" s="102"/>
      <c r="AI476" s="44">
        <v>1.4999999999999999E-2</v>
      </c>
      <c r="AJ476" s="15">
        <f>_xlfn.XLOOKUP($AF476,Warranty!B:B,Warranty!E:E)</f>
        <v>1.4999999999999999E-2</v>
      </c>
      <c r="AK476" s="8">
        <f>IF($I476="AUD",VLOOKUP(RIGHT('Wk - Margins'!$G476,3),'AU Freight'!C:G,5,0),0)</f>
        <v>100</v>
      </c>
      <c r="AL476" s="15">
        <f t="shared" si="153"/>
        <v>0</v>
      </c>
      <c r="AM476" s="61">
        <f t="shared" si="151"/>
        <v>1083.254129526249</v>
      </c>
      <c r="AN476" s="63">
        <f t="shared" si="154"/>
        <v>0.15563392142436872</v>
      </c>
      <c r="AQ476" s="147"/>
    </row>
    <row r="477" spans="1:43">
      <c r="A477" s="10" t="str">
        <f>'Input - Bookings'!A477</f>
        <v>10-27</v>
      </c>
      <c r="B477" s="11" t="str">
        <f>'Input - Bookings'!C477</f>
        <v>P</v>
      </c>
      <c r="C477" s="11" t="str">
        <f>'Input - Bookings'!H477</f>
        <v>AU</v>
      </c>
      <c r="D477" s="24" t="str">
        <f>'Input - Bookings'!E477</f>
        <v>065</v>
      </c>
      <c r="E477" s="24" t="str">
        <f>'Input - Bookings'!G477</f>
        <v>ADAPT-A-LIFT GROUP (VIC)</v>
      </c>
      <c r="F477" s="146" t="str">
        <f>'Input - Bookings'!I477</f>
        <v>H68554</v>
      </c>
      <c r="G477" s="24" t="str">
        <f>'Input - Bookings'!L477</f>
        <v>A6W9</v>
      </c>
      <c r="H477" s="24" t="str">
        <f>'Input - Bookings'!M477</f>
        <v>PC1.5</v>
      </c>
      <c r="I477" s="24" t="str">
        <f>'Input - Bookings'!B477</f>
        <v>AUD</v>
      </c>
      <c r="J477" s="13" t="str">
        <f>IF(I477="USD",INDEX('AP Plants'!A:A,MATCH(G477,'AP Plants'!D:D,0)),INDEX('Australia Plants'!A:A,MATCH(G477,'Australia Plants'!D:D,0)))</f>
        <v>Staxx</v>
      </c>
      <c r="K477" s="73">
        <v>1</v>
      </c>
      <c r="L477" s="97">
        <v>2140</v>
      </c>
      <c r="M477" s="97">
        <v>1282.92</v>
      </c>
      <c r="N477" s="99">
        <v>0.15563392142436872</v>
      </c>
      <c r="O477" s="25">
        <f t="shared" si="157"/>
        <v>0.40050467289719627</v>
      </c>
      <c r="P477" s="14">
        <f>IFERROR(IF(OR(B477&amp;C477="PAU",B477&amp;C477="AIN"),VLOOKUP(B477&amp;C477&amp;G477,#REF!,8,0),VLOOKUP(B477&amp;G477,#REF!,8,0)),0)</f>
        <v>0</v>
      </c>
      <c r="Q477" s="15">
        <f t="shared" si="158"/>
        <v>0.15563392142436872</v>
      </c>
      <c r="R477" s="16" t="str">
        <f t="shared" si="159"/>
        <v>AOP</v>
      </c>
      <c r="S477" s="17">
        <f t="shared" si="155"/>
        <v>199.66587047375111</v>
      </c>
      <c r="T477" s="18" t="e">
        <f t="shared" si="160"/>
        <v>#DIV/0!</v>
      </c>
      <c r="U477" s="23" t="e">
        <f t="shared" si="152"/>
        <v>#DIV/0!</v>
      </c>
      <c r="Y477" s="8" t="str">
        <f t="shared" si="161"/>
        <v>PAUH68554PC1.5</v>
      </c>
      <c r="Z477" s="8" t="str">
        <f>IF(Y477='Input - Bookings'!Q710,"OK","Check")</f>
        <v>Check</v>
      </c>
      <c r="AA477" s="118"/>
      <c r="AB477" s="103"/>
      <c r="AC477" s="103"/>
      <c r="AD477" s="100">
        <f t="shared" si="162"/>
        <v>641.02582576834698</v>
      </c>
      <c r="AE477" s="100"/>
      <c r="AF477" s="8" t="str">
        <f t="array" ref="AF477">_xlfn.XLOOKUP($G477,'AP Plants'!D:D,'AP Plants'!B:B)</f>
        <v>Class 3</v>
      </c>
      <c r="AG477" s="102">
        <f>AD477*'Currency &amp; Conversion'!$L$6</f>
        <v>954.61565973422239</v>
      </c>
      <c r="AH477" s="102"/>
      <c r="AI477" s="44">
        <v>1.4999999999999999E-2</v>
      </c>
      <c r="AJ477" s="15">
        <f>_xlfn.XLOOKUP($AF477,Warranty!B:B,Warranty!E:E)</f>
        <v>1.4999999999999999E-2</v>
      </c>
      <c r="AK477" s="8">
        <f>IF($I477="AUD",VLOOKUP(RIGHT('Wk - Margins'!$G477,3),'AU Freight'!C:G,5,0),0)</f>
        <v>100</v>
      </c>
      <c r="AL477" s="15">
        <f t="shared" si="153"/>
        <v>0</v>
      </c>
      <c r="AM477" s="61">
        <f t="shared" si="151"/>
        <v>1083.254129526249</v>
      </c>
      <c r="AN477" s="63">
        <f t="shared" si="154"/>
        <v>0.15563392142436872</v>
      </c>
      <c r="AQ477" s="147"/>
    </row>
    <row r="478" spans="1:43">
      <c r="A478" s="10" t="str">
        <f>'Input - Bookings'!A478</f>
        <v>10-27</v>
      </c>
      <c r="B478" s="11" t="str">
        <f>'Input - Bookings'!C478</f>
        <v>P</v>
      </c>
      <c r="C478" s="11" t="str">
        <f>'Input - Bookings'!H478</f>
        <v>AU</v>
      </c>
      <c r="D478" s="24" t="str">
        <f>'Input - Bookings'!E478</f>
        <v>065</v>
      </c>
      <c r="E478" s="24" t="str">
        <f>'Input - Bookings'!G478</f>
        <v>ADAPT-A-LIFT GROUP (VIC)</v>
      </c>
      <c r="F478" s="146" t="str">
        <f>'Input - Bookings'!I478</f>
        <v>H68555</v>
      </c>
      <c r="G478" s="24" t="str">
        <f>'Input - Bookings'!L478</f>
        <v>A6W9</v>
      </c>
      <c r="H478" s="24" t="str">
        <f>'Input - Bookings'!M478</f>
        <v>PC1.5</v>
      </c>
      <c r="I478" s="24" t="str">
        <f>'Input - Bookings'!B478</f>
        <v>AUD</v>
      </c>
      <c r="J478" s="13" t="str">
        <f>IF(I478="USD",INDEX('AP Plants'!A:A,MATCH(G478,'AP Plants'!D:D,0)),INDEX('Australia Plants'!A:A,MATCH(G478,'Australia Plants'!D:D,0)))</f>
        <v>Staxx</v>
      </c>
      <c r="K478" s="73">
        <v>1</v>
      </c>
      <c r="L478" s="97">
        <v>2140</v>
      </c>
      <c r="M478" s="97">
        <v>1282.92</v>
      </c>
      <c r="N478" s="99">
        <v>0.15563392142436872</v>
      </c>
      <c r="O478" s="25">
        <f t="shared" si="157"/>
        <v>0.40050467289719627</v>
      </c>
      <c r="P478" s="14">
        <f>IFERROR(IF(OR(B478&amp;C478="PAU",B478&amp;C478="AIN"),VLOOKUP(B478&amp;C478&amp;G478,#REF!,8,0),VLOOKUP(B478&amp;G478,#REF!,8,0)),0)</f>
        <v>0</v>
      </c>
      <c r="Q478" s="15">
        <f t="shared" si="158"/>
        <v>0.15563392142436872</v>
      </c>
      <c r="R478" s="16" t="str">
        <f t="shared" si="159"/>
        <v>AOP</v>
      </c>
      <c r="S478" s="17">
        <f t="shared" si="155"/>
        <v>199.66587047375111</v>
      </c>
      <c r="T478" s="18" t="e">
        <f t="shared" si="160"/>
        <v>#DIV/0!</v>
      </c>
      <c r="U478" s="23" t="e">
        <f t="shared" si="152"/>
        <v>#DIV/0!</v>
      </c>
      <c r="Y478" s="8" t="str">
        <f t="shared" si="161"/>
        <v>PAUH68555PC1.5</v>
      </c>
      <c r="Z478" s="8" t="str">
        <f>IF(Y478='Input - Bookings'!Q711,"OK","Check")</f>
        <v>Check</v>
      </c>
      <c r="AA478" s="118"/>
      <c r="AB478" s="103"/>
      <c r="AC478" s="103"/>
      <c r="AD478" s="100">
        <f t="shared" si="162"/>
        <v>641.02582576834698</v>
      </c>
      <c r="AE478" s="100"/>
      <c r="AF478" s="8" t="str">
        <f t="array" ref="AF478">_xlfn.XLOOKUP($G478,'AP Plants'!D:D,'AP Plants'!B:B)</f>
        <v>Class 3</v>
      </c>
      <c r="AG478" s="102">
        <f>AD478*'Currency &amp; Conversion'!$L$6</f>
        <v>954.61565973422239</v>
      </c>
      <c r="AH478" s="102"/>
      <c r="AI478" s="44">
        <v>1.4999999999999999E-2</v>
      </c>
      <c r="AJ478" s="15">
        <f>_xlfn.XLOOKUP($AF478,Warranty!B:B,Warranty!E:E)</f>
        <v>1.4999999999999999E-2</v>
      </c>
      <c r="AK478" s="8">
        <f>IF($I478="AUD",VLOOKUP(RIGHT('Wk - Margins'!$G478,3),'AU Freight'!C:G,5,0),0)</f>
        <v>100</v>
      </c>
      <c r="AL478" s="15">
        <f t="shared" si="153"/>
        <v>0</v>
      </c>
      <c r="AM478" s="61">
        <f t="shared" si="151"/>
        <v>1083.254129526249</v>
      </c>
      <c r="AN478" s="63">
        <f t="shared" si="154"/>
        <v>0.15563392142436872</v>
      </c>
      <c r="AQ478" s="147"/>
    </row>
    <row r="479" spans="1:43">
      <c r="A479" s="10" t="str">
        <f>'Input - Bookings'!A479</f>
        <v>10-27</v>
      </c>
      <c r="B479" s="11" t="str">
        <f>'Input - Bookings'!C479</f>
        <v>P</v>
      </c>
      <c r="C479" s="11" t="str">
        <f>'Input - Bookings'!H479</f>
        <v>AU</v>
      </c>
      <c r="D479" s="24" t="str">
        <f>'Input - Bookings'!E479</f>
        <v>065</v>
      </c>
      <c r="E479" s="24" t="str">
        <f>'Input - Bookings'!G479</f>
        <v>ADAPT-A-LIFT GROUP (VIC)</v>
      </c>
      <c r="F479" s="146" t="str">
        <f>'Input - Bookings'!I479</f>
        <v>H68556</v>
      </c>
      <c r="G479" s="24" t="str">
        <f>'Input - Bookings'!L479</f>
        <v>A6W9</v>
      </c>
      <c r="H479" s="24" t="str">
        <f>'Input - Bookings'!M479</f>
        <v>PC1.5</v>
      </c>
      <c r="I479" s="24" t="str">
        <f>'Input - Bookings'!B479</f>
        <v>AUD</v>
      </c>
      <c r="J479" s="13" t="str">
        <f>IF(I479="USD",INDEX('AP Plants'!A:A,MATCH(G479,'AP Plants'!D:D,0)),INDEX('Australia Plants'!A:A,MATCH(G479,'Australia Plants'!D:D,0)))</f>
        <v>Staxx</v>
      </c>
      <c r="K479" s="73">
        <v>1</v>
      </c>
      <c r="L479" s="97">
        <v>2140</v>
      </c>
      <c r="M479" s="97">
        <v>1282.92</v>
      </c>
      <c r="N479" s="99">
        <v>0.15563392142436872</v>
      </c>
      <c r="O479" s="25">
        <f t="shared" si="157"/>
        <v>0.40050467289719627</v>
      </c>
      <c r="P479" s="14">
        <f>IFERROR(IF(OR(B479&amp;C479="PAU",B479&amp;C479="AIN"),VLOOKUP(B479&amp;C479&amp;G479,#REF!,8,0),VLOOKUP(B479&amp;G479,#REF!,8,0)),0)</f>
        <v>0</v>
      </c>
      <c r="Q479" s="15">
        <f t="shared" si="158"/>
        <v>0.15563392142436872</v>
      </c>
      <c r="R479" s="16" t="str">
        <f t="shared" si="159"/>
        <v>AOP</v>
      </c>
      <c r="S479" s="17">
        <f t="shared" si="155"/>
        <v>199.66587047375111</v>
      </c>
      <c r="T479" s="18" t="e">
        <f t="shared" si="160"/>
        <v>#DIV/0!</v>
      </c>
      <c r="U479" s="23" t="e">
        <f t="shared" si="152"/>
        <v>#DIV/0!</v>
      </c>
      <c r="Y479" s="8" t="str">
        <f t="shared" si="161"/>
        <v>PAUH68556PC1.5</v>
      </c>
      <c r="Z479" s="8" t="str">
        <f>IF(Y479='Input - Bookings'!Q712,"OK","Check")</f>
        <v>Check</v>
      </c>
      <c r="AA479" s="118"/>
      <c r="AB479" s="103"/>
      <c r="AC479" s="103"/>
      <c r="AD479" s="100">
        <f t="shared" si="162"/>
        <v>641.02582576834698</v>
      </c>
      <c r="AE479" s="100"/>
      <c r="AF479" s="8" t="str">
        <f t="array" ref="AF479">_xlfn.XLOOKUP($G479,'AP Plants'!D:D,'AP Plants'!B:B)</f>
        <v>Class 3</v>
      </c>
      <c r="AG479" s="102">
        <f>AD479*'Currency &amp; Conversion'!$L$6</f>
        <v>954.61565973422239</v>
      </c>
      <c r="AH479" s="102"/>
      <c r="AI479" s="44">
        <v>1.4999999999999999E-2</v>
      </c>
      <c r="AJ479" s="15">
        <f>_xlfn.XLOOKUP($AF479,Warranty!B:B,Warranty!E:E)</f>
        <v>1.4999999999999999E-2</v>
      </c>
      <c r="AK479" s="8">
        <f>IF($I479="AUD",VLOOKUP(RIGHT('Wk - Margins'!$G479,3),'AU Freight'!C:G,5,0),0)</f>
        <v>100</v>
      </c>
      <c r="AL479" s="15">
        <f t="shared" si="153"/>
        <v>0</v>
      </c>
      <c r="AM479" s="61">
        <f t="shared" si="151"/>
        <v>1083.254129526249</v>
      </c>
      <c r="AN479" s="63">
        <f t="shared" si="154"/>
        <v>0.15563392142436872</v>
      </c>
      <c r="AQ479" s="147"/>
    </row>
    <row r="480" spans="1:43">
      <c r="A480" s="10" t="str">
        <f>'Input - Bookings'!A480</f>
        <v>10-27</v>
      </c>
      <c r="B480" s="11" t="str">
        <f>'Input - Bookings'!C480</f>
        <v>P</v>
      </c>
      <c r="C480" s="11" t="str">
        <f>'Input - Bookings'!H480</f>
        <v>AU</v>
      </c>
      <c r="D480" s="24" t="str">
        <f>'Input - Bookings'!E480</f>
        <v>065</v>
      </c>
      <c r="E480" s="24" t="str">
        <f>'Input - Bookings'!G480</f>
        <v>ADAPT-A-LIFT GROUP (VIC)</v>
      </c>
      <c r="F480" s="146" t="str">
        <f>'Input - Bookings'!I480</f>
        <v>H68557</v>
      </c>
      <c r="G480" s="24" t="str">
        <f>'Input - Bookings'!L480</f>
        <v>A6W9</v>
      </c>
      <c r="H480" s="24" t="str">
        <f>'Input - Bookings'!M480</f>
        <v>PC1.5</v>
      </c>
      <c r="I480" s="24" t="str">
        <f>'Input - Bookings'!B480</f>
        <v>AUD</v>
      </c>
      <c r="J480" s="13" t="str">
        <f>IF(I480="USD",INDEX('AP Plants'!A:A,MATCH(G480,'AP Plants'!D:D,0)),INDEX('Australia Plants'!A:A,MATCH(G480,'Australia Plants'!D:D,0)))</f>
        <v>Staxx</v>
      </c>
      <c r="K480" s="73">
        <v>1</v>
      </c>
      <c r="L480" s="97">
        <v>2140</v>
      </c>
      <c r="M480" s="97">
        <v>1282.92</v>
      </c>
      <c r="N480" s="99">
        <v>0.15563392142436872</v>
      </c>
      <c r="O480" s="25">
        <f t="shared" si="157"/>
        <v>0.40050467289719627</v>
      </c>
      <c r="P480" s="14">
        <f>IFERROR(IF(OR(B480&amp;C480="PAU",B480&amp;C480="AIN"),VLOOKUP(B480&amp;C480&amp;G480,#REF!,8,0),VLOOKUP(B480&amp;G480,#REF!,8,0)),0)</f>
        <v>0</v>
      </c>
      <c r="Q480" s="15">
        <f t="shared" si="158"/>
        <v>0.15563392142436872</v>
      </c>
      <c r="R480" s="16" t="str">
        <f t="shared" si="159"/>
        <v>AOP</v>
      </c>
      <c r="S480" s="17">
        <f t="shared" si="155"/>
        <v>199.66587047375111</v>
      </c>
      <c r="T480" s="18" t="e">
        <f t="shared" si="160"/>
        <v>#DIV/0!</v>
      </c>
      <c r="U480" s="23" t="e">
        <f t="shared" si="152"/>
        <v>#DIV/0!</v>
      </c>
      <c r="Y480" s="8" t="str">
        <f t="shared" si="161"/>
        <v>PAUH68557PC1.5</v>
      </c>
      <c r="Z480" s="8" t="str">
        <f>IF(Y480='Input - Bookings'!Q713,"OK","Check")</f>
        <v>Check</v>
      </c>
      <c r="AA480" s="118"/>
      <c r="AB480" s="103"/>
      <c r="AC480" s="103"/>
      <c r="AD480" s="100">
        <f t="shared" si="162"/>
        <v>641.02582576834698</v>
      </c>
      <c r="AE480" s="100"/>
      <c r="AF480" s="8" t="str">
        <f t="array" ref="AF480">_xlfn.XLOOKUP($G480,'AP Plants'!D:D,'AP Plants'!B:B)</f>
        <v>Class 3</v>
      </c>
      <c r="AG480" s="102">
        <f>AD480*'Currency &amp; Conversion'!$L$6</f>
        <v>954.61565973422239</v>
      </c>
      <c r="AH480" s="102"/>
      <c r="AI480" s="44">
        <v>1.4999999999999999E-2</v>
      </c>
      <c r="AJ480" s="15">
        <f>_xlfn.XLOOKUP($AF480,Warranty!B:B,Warranty!E:E)</f>
        <v>1.4999999999999999E-2</v>
      </c>
      <c r="AK480" s="8">
        <f>IF($I480="AUD",VLOOKUP(RIGHT('Wk - Margins'!$G480,3),'AU Freight'!C:G,5,0),0)</f>
        <v>100</v>
      </c>
      <c r="AL480" s="15">
        <f t="shared" si="153"/>
        <v>0</v>
      </c>
      <c r="AM480" s="61">
        <f t="shared" si="151"/>
        <v>1083.254129526249</v>
      </c>
      <c r="AN480" s="63">
        <f t="shared" si="154"/>
        <v>0.15563392142436872</v>
      </c>
      <c r="AQ480" s="147"/>
    </row>
    <row r="481" spans="1:43">
      <c r="A481" s="10" t="str">
        <f>'Input - Bookings'!A481</f>
        <v>10-27</v>
      </c>
      <c r="B481" s="11" t="str">
        <f>'Input - Bookings'!C481</f>
        <v>P</v>
      </c>
      <c r="C481" s="11" t="str">
        <f>'Input - Bookings'!H481</f>
        <v>AU</v>
      </c>
      <c r="D481" s="24" t="str">
        <f>'Input - Bookings'!E481</f>
        <v>065</v>
      </c>
      <c r="E481" s="24" t="str">
        <f>'Input - Bookings'!G481</f>
        <v>ADAPT-A-LIFT GROUP (VIC)</v>
      </c>
      <c r="F481" s="146" t="str">
        <f>'Input - Bookings'!I481</f>
        <v>H68558</v>
      </c>
      <c r="G481" s="24" t="str">
        <f>'Input - Bookings'!L481</f>
        <v>A6W9</v>
      </c>
      <c r="H481" s="24" t="str">
        <f>'Input - Bookings'!M481</f>
        <v>PC1.5</v>
      </c>
      <c r="I481" s="24" t="str">
        <f>'Input - Bookings'!B481</f>
        <v>AUD</v>
      </c>
      <c r="J481" s="13" t="str">
        <f>IF(I481="USD",INDEX('AP Plants'!A:A,MATCH(G481,'AP Plants'!D:D,0)),INDEX('Australia Plants'!A:A,MATCH(G481,'Australia Plants'!D:D,0)))</f>
        <v>Staxx</v>
      </c>
      <c r="K481" s="73">
        <v>1</v>
      </c>
      <c r="L481" s="97">
        <v>2140</v>
      </c>
      <c r="M481" s="97">
        <v>1282.92</v>
      </c>
      <c r="N481" s="99">
        <v>0.15563392142436872</v>
      </c>
      <c r="O481" s="25">
        <f t="shared" si="157"/>
        <v>0.40050467289719627</v>
      </c>
      <c r="P481" s="14">
        <f>IFERROR(IF(OR(B481&amp;C481="PAU",B481&amp;C481="AIN"),VLOOKUP(B481&amp;C481&amp;G481,#REF!,8,0),VLOOKUP(B481&amp;G481,#REF!,8,0)),0)</f>
        <v>0</v>
      </c>
      <c r="Q481" s="15">
        <f t="shared" si="158"/>
        <v>0.15563392142436872</v>
      </c>
      <c r="R481" s="16" t="str">
        <f t="shared" si="159"/>
        <v>AOP</v>
      </c>
      <c r="S481" s="17">
        <f t="shared" si="155"/>
        <v>199.66587047375111</v>
      </c>
      <c r="T481" s="18" t="e">
        <f t="shared" si="160"/>
        <v>#DIV/0!</v>
      </c>
      <c r="U481" s="23" t="e">
        <f t="shared" si="152"/>
        <v>#DIV/0!</v>
      </c>
      <c r="Y481" s="8" t="str">
        <f t="shared" si="161"/>
        <v>PAUH68558PC1.5</v>
      </c>
      <c r="Z481" s="8" t="str">
        <f>IF(Y481='Input - Bookings'!Q714,"OK","Check")</f>
        <v>Check</v>
      </c>
      <c r="AA481" s="118"/>
      <c r="AB481" s="103"/>
      <c r="AC481" s="103"/>
      <c r="AD481" s="100">
        <f t="shared" si="162"/>
        <v>641.02582576834698</v>
      </c>
      <c r="AE481" s="100"/>
      <c r="AF481" s="8" t="str">
        <f t="array" ref="AF481">_xlfn.XLOOKUP($G481,'AP Plants'!D:D,'AP Plants'!B:B)</f>
        <v>Class 3</v>
      </c>
      <c r="AG481" s="102">
        <f>AD481*'Currency &amp; Conversion'!$L$6</f>
        <v>954.61565973422239</v>
      </c>
      <c r="AH481" s="102"/>
      <c r="AI481" s="44">
        <v>1.4999999999999999E-2</v>
      </c>
      <c r="AJ481" s="15">
        <f>_xlfn.XLOOKUP($AF481,Warranty!B:B,Warranty!E:E)</f>
        <v>1.4999999999999999E-2</v>
      </c>
      <c r="AK481" s="8">
        <f>IF($I481="AUD",VLOOKUP(RIGHT('Wk - Margins'!$G481,3),'AU Freight'!C:G,5,0),0)</f>
        <v>100</v>
      </c>
      <c r="AL481" s="15">
        <f t="shared" si="153"/>
        <v>0</v>
      </c>
      <c r="AM481" s="61">
        <f t="shared" si="151"/>
        <v>1083.254129526249</v>
      </c>
      <c r="AN481" s="63">
        <f t="shared" si="154"/>
        <v>0.15563392142436872</v>
      </c>
      <c r="AQ481" s="147"/>
    </row>
    <row r="482" spans="1:43">
      <c r="A482" s="10" t="str">
        <f>'Input - Bookings'!A482</f>
        <v>10-27</v>
      </c>
      <c r="B482" s="11" t="str">
        <f>'Input - Bookings'!C482</f>
        <v>P</v>
      </c>
      <c r="C482" s="11" t="str">
        <f>'Input - Bookings'!H482</f>
        <v>AU</v>
      </c>
      <c r="D482" s="24" t="str">
        <f>'Input - Bookings'!E482</f>
        <v>065</v>
      </c>
      <c r="E482" s="24" t="str">
        <f>'Input - Bookings'!G482</f>
        <v>ADAPT-A-LIFT GROUP (VIC)</v>
      </c>
      <c r="F482" s="146" t="str">
        <f>'Input - Bookings'!I482</f>
        <v>H68560</v>
      </c>
      <c r="G482" s="24" t="str">
        <f>'Input - Bookings'!L482</f>
        <v>A6W9</v>
      </c>
      <c r="H482" s="24" t="str">
        <f>'Input - Bookings'!M482</f>
        <v>PC1.5</v>
      </c>
      <c r="I482" s="24" t="str">
        <f>'Input - Bookings'!B482</f>
        <v>AUD</v>
      </c>
      <c r="J482" s="13" t="str">
        <f>IF(I482="USD",INDEX('AP Plants'!A:A,MATCH(G482,'AP Plants'!D:D,0)),INDEX('Australia Plants'!A:A,MATCH(G482,'Australia Plants'!D:D,0)))</f>
        <v>Staxx</v>
      </c>
      <c r="K482" s="73">
        <v>1</v>
      </c>
      <c r="L482" s="97">
        <v>2140</v>
      </c>
      <c r="M482" s="97">
        <v>1282.92</v>
      </c>
      <c r="N482" s="99">
        <v>0.15563392142436872</v>
      </c>
      <c r="O482" s="25">
        <f t="shared" si="157"/>
        <v>0.40050467289719627</v>
      </c>
      <c r="P482" s="14">
        <f>IFERROR(IF(OR(B482&amp;C482="PAU",B482&amp;C482="AIN"),VLOOKUP(B482&amp;C482&amp;G482,#REF!,8,0),VLOOKUP(B482&amp;G482,#REF!,8,0)),0)</f>
        <v>0</v>
      </c>
      <c r="Q482" s="15">
        <f t="shared" si="158"/>
        <v>0.15563392142436872</v>
      </c>
      <c r="R482" s="16" t="str">
        <f t="shared" si="159"/>
        <v>AOP</v>
      </c>
      <c r="S482" s="17">
        <f t="shared" si="155"/>
        <v>199.66587047375111</v>
      </c>
      <c r="T482" s="18" t="e">
        <f t="shared" si="160"/>
        <v>#DIV/0!</v>
      </c>
      <c r="U482" s="23" t="e">
        <f t="shared" si="152"/>
        <v>#DIV/0!</v>
      </c>
      <c r="Y482" s="8" t="str">
        <f t="shared" si="161"/>
        <v>PAUH68560PC1.5</v>
      </c>
      <c r="Z482" s="8" t="str">
        <f>IF(Y482='Input - Bookings'!Q715,"OK","Check")</f>
        <v>Check</v>
      </c>
      <c r="AA482" s="118"/>
      <c r="AB482" s="103"/>
      <c r="AC482" s="103"/>
      <c r="AD482" s="100">
        <f t="shared" si="162"/>
        <v>641.02582576834698</v>
      </c>
      <c r="AE482" s="100"/>
      <c r="AF482" s="8" t="str">
        <f t="array" ref="AF482">_xlfn.XLOOKUP($G482,'AP Plants'!D:D,'AP Plants'!B:B)</f>
        <v>Class 3</v>
      </c>
      <c r="AG482" s="102">
        <f>AD482*'Currency &amp; Conversion'!$L$6</f>
        <v>954.61565973422239</v>
      </c>
      <c r="AH482" s="102"/>
      <c r="AI482" s="44">
        <v>1.4999999999999999E-2</v>
      </c>
      <c r="AJ482" s="15">
        <f>_xlfn.XLOOKUP($AF482,Warranty!B:B,Warranty!E:E)</f>
        <v>1.4999999999999999E-2</v>
      </c>
      <c r="AK482" s="8">
        <f>IF($I482="AUD",VLOOKUP(RIGHT('Wk - Margins'!$G482,3),'AU Freight'!C:G,5,0),0)</f>
        <v>100</v>
      </c>
      <c r="AL482" s="15">
        <f t="shared" si="153"/>
        <v>0</v>
      </c>
      <c r="AM482" s="61">
        <f t="shared" si="151"/>
        <v>1083.254129526249</v>
      </c>
      <c r="AN482" s="63">
        <f t="shared" si="154"/>
        <v>0.15563392142436872</v>
      </c>
      <c r="AQ482" s="147"/>
    </row>
    <row r="483" spans="1:43">
      <c r="A483" s="10" t="str">
        <f>'Input - Bookings'!A483</f>
        <v>10-27</v>
      </c>
      <c r="B483" s="11" t="str">
        <f>'Input - Bookings'!C483</f>
        <v>P</v>
      </c>
      <c r="C483" s="11" t="str">
        <f>'Input - Bookings'!H483</f>
        <v>AU</v>
      </c>
      <c r="D483" s="24" t="str">
        <f>'Input - Bookings'!E483</f>
        <v>065</v>
      </c>
      <c r="E483" s="24" t="str">
        <f>'Input - Bookings'!G483</f>
        <v>ADAPT-A-LIFT GROUP (VIC)</v>
      </c>
      <c r="F483" s="146" t="str">
        <f>'Input - Bookings'!I483</f>
        <v>H68562</v>
      </c>
      <c r="G483" s="24" t="str">
        <f>'Input - Bookings'!L483</f>
        <v>A6W9</v>
      </c>
      <c r="H483" s="24" t="str">
        <f>'Input - Bookings'!M483</f>
        <v>PC1.5</v>
      </c>
      <c r="I483" s="24" t="str">
        <f>'Input - Bookings'!B483</f>
        <v>AUD</v>
      </c>
      <c r="J483" s="13" t="str">
        <f>IF(I483="USD",INDEX('AP Plants'!A:A,MATCH(G483,'AP Plants'!D:D,0)),INDEX('Australia Plants'!A:A,MATCH(G483,'Australia Plants'!D:D,0)))</f>
        <v>Staxx</v>
      </c>
      <c r="K483" s="73">
        <v>1</v>
      </c>
      <c r="L483" s="97">
        <v>2140</v>
      </c>
      <c r="M483" s="97">
        <v>1282.92</v>
      </c>
      <c r="N483" s="99">
        <v>0.15563392142436872</v>
      </c>
      <c r="O483" s="25">
        <f t="shared" si="157"/>
        <v>0.40050467289719627</v>
      </c>
      <c r="P483" s="14">
        <f>IFERROR(IF(OR(B483&amp;C483="PAU",B483&amp;C483="AIN"),VLOOKUP(B483&amp;C483&amp;G483,#REF!,8,0),VLOOKUP(B483&amp;G483,#REF!,8,0)),0)</f>
        <v>0</v>
      </c>
      <c r="Q483" s="15">
        <f t="shared" si="158"/>
        <v>0.15563392142436872</v>
      </c>
      <c r="R483" s="16" t="str">
        <f t="shared" si="159"/>
        <v>AOP</v>
      </c>
      <c r="S483" s="17">
        <f t="shared" si="155"/>
        <v>199.66587047375111</v>
      </c>
      <c r="T483" s="18" t="e">
        <f t="shared" si="160"/>
        <v>#DIV/0!</v>
      </c>
      <c r="U483" s="23" t="e">
        <f t="shared" si="152"/>
        <v>#DIV/0!</v>
      </c>
      <c r="Y483" s="8" t="str">
        <f t="shared" si="161"/>
        <v>PAUH68562PC1.5</v>
      </c>
      <c r="Z483" s="8" t="str">
        <f>IF(Y483='Input - Bookings'!Q716,"OK","Check")</f>
        <v>Check</v>
      </c>
      <c r="AA483" s="118"/>
      <c r="AB483" s="103"/>
      <c r="AC483" s="103"/>
      <c r="AD483" s="100">
        <f t="shared" si="162"/>
        <v>641.02582576834698</v>
      </c>
      <c r="AE483" s="100"/>
      <c r="AF483" s="8" t="str">
        <f t="array" ref="AF483">_xlfn.XLOOKUP($G483,'AP Plants'!D:D,'AP Plants'!B:B)</f>
        <v>Class 3</v>
      </c>
      <c r="AG483" s="102">
        <f>AD483*'Currency &amp; Conversion'!$L$6</f>
        <v>954.61565973422239</v>
      </c>
      <c r="AH483" s="102"/>
      <c r="AI483" s="44">
        <v>1.4999999999999999E-2</v>
      </c>
      <c r="AJ483" s="15">
        <f>_xlfn.XLOOKUP($AF483,Warranty!B:B,Warranty!E:E)</f>
        <v>1.4999999999999999E-2</v>
      </c>
      <c r="AK483" s="8">
        <f>IF($I483="AUD",VLOOKUP(RIGHT('Wk - Margins'!$G483,3),'AU Freight'!C:G,5,0),0)</f>
        <v>100</v>
      </c>
      <c r="AL483" s="15">
        <f t="shared" si="153"/>
        <v>0</v>
      </c>
      <c r="AM483" s="61">
        <f t="shared" si="151"/>
        <v>1083.254129526249</v>
      </c>
      <c r="AN483" s="63">
        <f t="shared" si="154"/>
        <v>0.15563392142436872</v>
      </c>
      <c r="AQ483" s="147"/>
    </row>
    <row r="484" spans="1:43">
      <c r="A484" s="10" t="str">
        <f>'Input - Bookings'!A484</f>
        <v>10-27</v>
      </c>
      <c r="B484" s="11" t="str">
        <f>'Input - Bookings'!C484</f>
        <v>P</v>
      </c>
      <c r="C484" s="11" t="str">
        <f>'Input - Bookings'!H484</f>
        <v>AU</v>
      </c>
      <c r="D484" s="24" t="str">
        <f>'Input - Bookings'!E484</f>
        <v>065</v>
      </c>
      <c r="E484" s="24" t="str">
        <f>'Input - Bookings'!G484</f>
        <v>ADAPT-A-LIFT GROUP (VIC)</v>
      </c>
      <c r="F484" s="146" t="str">
        <f>'Input - Bookings'!I484</f>
        <v>H68564</v>
      </c>
      <c r="G484" s="24" t="str">
        <f>'Input - Bookings'!L484</f>
        <v>A6W9</v>
      </c>
      <c r="H484" s="24" t="str">
        <f>'Input - Bookings'!M484</f>
        <v>PC1.5</v>
      </c>
      <c r="I484" s="24" t="str">
        <f>'Input - Bookings'!B484</f>
        <v>AUD</v>
      </c>
      <c r="J484" s="13" t="str">
        <f>IF(I484="USD",INDEX('AP Plants'!A:A,MATCH(G484,'AP Plants'!D:D,0)),INDEX('Australia Plants'!A:A,MATCH(G484,'Australia Plants'!D:D,0)))</f>
        <v>Staxx</v>
      </c>
      <c r="K484" s="73">
        <v>1</v>
      </c>
      <c r="L484" s="97">
        <v>2140</v>
      </c>
      <c r="M484" s="97">
        <v>1282.92</v>
      </c>
      <c r="N484" s="99">
        <v>0.15563392142436872</v>
      </c>
      <c r="O484" s="25">
        <f t="shared" si="157"/>
        <v>0.40050467289719627</v>
      </c>
      <c r="P484" s="14">
        <f>IFERROR(IF(OR(B484&amp;C484="PAU",B484&amp;C484="AIN"),VLOOKUP(B484&amp;C484&amp;G484,#REF!,8,0),VLOOKUP(B484&amp;G484,#REF!,8,0)),0)</f>
        <v>0</v>
      </c>
      <c r="Q484" s="15">
        <f t="shared" si="158"/>
        <v>0.15563392142436872</v>
      </c>
      <c r="R484" s="16" t="str">
        <f t="shared" si="159"/>
        <v>AOP</v>
      </c>
      <c r="S484" s="17">
        <f t="shared" si="155"/>
        <v>199.66587047375111</v>
      </c>
      <c r="T484" s="18" t="e">
        <f t="shared" si="160"/>
        <v>#DIV/0!</v>
      </c>
      <c r="U484" s="23" t="e">
        <f t="shared" si="152"/>
        <v>#DIV/0!</v>
      </c>
      <c r="Y484" s="8" t="str">
        <f t="shared" si="161"/>
        <v>PAUH68564PC1.5</v>
      </c>
      <c r="Z484" s="8" t="str">
        <f>IF(Y484='Input - Bookings'!Q717,"OK","Check")</f>
        <v>Check</v>
      </c>
      <c r="AA484" s="118"/>
      <c r="AB484" s="103"/>
      <c r="AC484" s="103"/>
      <c r="AD484" s="100">
        <f t="shared" si="162"/>
        <v>641.02582576834698</v>
      </c>
      <c r="AE484" s="100"/>
      <c r="AF484" s="8" t="str">
        <f t="array" ref="AF484">_xlfn.XLOOKUP($G484,'AP Plants'!D:D,'AP Plants'!B:B)</f>
        <v>Class 3</v>
      </c>
      <c r="AG484" s="102">
        <f>AD484*'Currency &amp; Conversion'!$L$6</f>
        <v>954.61565973422239</v>
      </c>
      <c r="AH484" s="102"/>
      <c r="AI484" s="44">
        <v>1.4999999999999999E-2</v>
      </c>
      <c r="AJ484" s="15">
        <f>_xlfn.XLOOKUP($AF484,Warranty!B:B,Warranty!E:E)</f>
        <v>1.4999999999999999E-2</v>
      </c>
      <c r="AK484" s="8">
        <f>IF($I484="AUD",VLOOKUP(RIGHT('Wk - Margins'!$G484,3),'AU Freight'!C:G,5,0),0)</f>
        <v>100</v>
      </c>
      <c r="AL484" s="15">
        <f t="shared" si="153"/>
        <v>0</v>
      </c>
      <c r="AM484" s="61">
        <f t="shared" si="151"/>
        <v>1083.254129526249</v>
      </c>
      <c r="AN484" s="63">
        <f t="shared" si="154"/>
        <v>0.15563392142436872</v>
      </c>
      <c r="AQ484" s="147"/>
    </row>
    <row r="485" spans="1:43">
      <c r="A485" s="10" t="str">
        <f>'Input - Bookings'!A485</f>
        <v>10-27</v>
      </c>
      <c r="B485" s="11" t="str">
        <f>'Input - Bookings'!C485</f>
        <v>P</v>
      </c>
      <c r="C485" s="11" t="str">
        <f>'Input - Bookings'!H485</f>
        <v>AU</v>
      </c>
      <c r="D485" s="24" t="str">
        <f>'Input - Bookings'!E485</f>
        <v>065</v>
      </c>
      <c r="E485" s="24" t="str">
        <f>'Input - Bookings'!G485</f>
        <v>ADAPT-A-LIFT GROUP (VIC)</v>
      </c>
      <c r="F485" s="146" t="str">
        <f>'Input - Bookings'!I485</f>
        <v>H68566</v>
      </c>
      <c r="G485" s="24" t="str">
        <f>'Input - Bookings'!L485</f>
        <v>A6W9</v>
      </c>
      <c r="H485" s="24" t="str">
        <f>'Input - Bookings'!M485</f>
        <v>PC1.5</v>
      </c>
      <c r="I485" s="24" t="str">
        <f>'Input - Bookings'!B485</f>
        <v>AUD</v>
      </c>
      <c r="J485" s="13" t="str">
        <f>IF(I485="USD",INDEX('AP Plants'!A:A,MATCH(G485,'AP Plants'!D:D,0)),INDEX('Australia Plants'!A:A,MATCH(G485,'Australia Plants'!D:D,0)))</f>
        <v>Staxx</v>
      </c>
      <c r="K485" s="73">
        <v>1</v>
      </c>
      <c r="L485" s="97">
        <v>2140</v>
      </c>
      <c r="M485" s="97">
        <v>1282.92</v>
      </c>
      <c r="N485" s="99">
        <v>0.15563392142436872</v>
      </c>
      <c r="O485" s="25">
        <f t="shared" si="157"/>
        <v>0.40050467289719627</v>
      </c>
      <c r="P485" s="14">
        <f>IFERROR(IF(OR(B485&amp;C485="PAU",B485&amp;C485="AIN"),VLOOKUP(B485&amp;C485&amp;G485,#REF!,8,0),VLOOKUP(B485&amp;G485,#REF!,8,0)),0)</f>
        <v>0</v>
      </c>
      <c r="Q485" s="15">
        <f t="shared" si="158"/>
        <v>0.15563392142436872</v>
      </c>
      <c r="R485" s="16" t="str">
        <f t="shared" si="159"/>
        <v>AOP</v>
      </c>
      <c r="S485" s="17">
        <f t="shared" si="155"/>
        <v>199.66587047375111</v>
      </c>
      <c r="T485" s="18" t="e">
        <f t="shared" si="160"/>
        <v>#DIV/0!</v>
      </c>
      <c r="U485" s="23" t="e">
        <f t="shared" si="152"/>
        <v>#DIV/0!</v>
      </c>
      <c r="Y485" s="8" t="str">
        <f t="shared" si="161"/>
        <v>PAUH68566PC1.5</v>
      </c>
      <c r="Z485" s="8" t="str">
        <f>IF(Y485='Input - Bookings'!Q718,"OK","Check")</f>
        <v>Check</v>
      </c>
      <c r="AA485" s="118"/>
      <c r="AB485" s="103"/>
      <c r="AC485" s="103"/>
      <c r="AD485" s="100">
        <f t="shared" si="162"/>
        <v>641.02582576834698</v>
      </c>
      <c r="AE485" s="100"/>
      <c r="AF485" s="8" t="str">
        <f t="array" ref="AF485">_xlfn.XLOOKUP($G485,'AP Plants'!D:D,'AP Plants'!B:B)</f>
        <v>Class 3</v>
      </c>
      <c r="AG485" s="102">
        <f>AD485*'Currency &amp; Conversion'!$L$6</f>
        <v>954.61565973422239</v>
      </c>
      <c r="AH485" s="102"/>
      <c r="AI485" s="44">
        <v>1.4999999999999999E-2</v>
      </c>
      <c r="AJ485" s="15">
        <f>_xlfn.XLOOKUP($AF485,Warranty!B:B,Warranty!E:E)</f>
        <v>1.4999999999999999E-2</v>
      </c>
      <c r="AK485" s="8">
        <f>IF($I485="AUD",VLOOKUP(RIGHT('Wk - Margins'!$G485,3),'AU Freight'!C:G,5,0),0)</f>
        <v>100</v>
      </c>
      <c r="AL485" s="15">
        <f t="shared" si="153"/>
        <v>0</v>
      </c>
      <c r="AM485" s="61">
        <f t="shared" si="151"/>
        <v>1083.254129526249</v>
      </c>
      <c r="AN485" s="63">
        <f t="shared" si="154"/>
        <v>0.15563392142436872</v>
      </c>
      <c r="AQ485" s="147"/>
    </row>
    <row r="486" spans="1:43">
      <c r="A486" s="10" t="str">
        <f>'Input - Bookings'!A486</f>
        <v>10-27</v>
      </c>
      <c r="B486" s="11" t="str">
        <f>'Input - Bookings'!C486</f>
        <v>P</v>
      </c>
      <c r="C486" s="11" t="str">
        <f>'Input - Bookings'!H486</f>
        <v>AU</v>
      </c>
      <c r="D486" s="24" t="str">
        <f>'Input - Bookings'!E486</f>
        <v>065</v>
      </c>
      <c r="E486" s="24" t="str">
        <f>'Input - Bookings'!G486</f>
        <v>ADAPT-A-LIFT GROUP (VIC)</v>
      </c>
      <c r="F486" s="146" t="str">
        <f>'Input - Bookings'!I486</f>
        <v>H68568</v>
      </c>
      <c r="G486" s="24" t="str">
        <f>'Input - Bookings'!L486</f>
        <v>A6W9</v>
      </c>
      <c r="H486" s="24" t="str">
        <f>'Input - Bookings'!M486</f>
        <v>PC1.5</v>
      </c>
      <c r="I486" s="24" t="str">
        <f>'Input - Bookings'!B486</f>
        <v>AUD</v>
      </c>
      <c r="J486" s="13" t="str">
        <f>IF(I486="USD",INDEX('AP Plants'!A:A,MATCH(G486,'AP Plants'!D:D,0)),INDEX('Australia Plants'!A:A,MATCH(G486,'Australia Plants'!D:D,0)))</f>
        <v>Staxx</v>
      </c>
      <c r="K486" s="73">
        <v>1</v>
      </c>
      <c r="L486" s="97">
        <v>2140</v>
      </c>
      <c r="M486" s="97">
        <v>1282.92</v>
      </c>
      <c r="N486" s="99">
        <v>0.15563392142436872</v>
      </c>
      <c r="O486" s="25">
        <f t="shared" si="157"/>
        <v>0.40050467289719627</v>
      </c>
      <c r="P486" s="14">
        <f>IFERROR(IF(OR(B486&amp;C486="PAU",B486&amp;C486="AIN"),VLOOKUP(B486&amp;C486&amp;G486,#REF!,8,0),VLOOKUP(B486&amp;G486,#REF!,8,0)),0)</f>
        <v>0</v>
      </c>
      <c r="Q486" s="15">
        <f t="shared" si="158"/>
        <v>0.15563392142436872</v>
      </c>
      <c r="R486" s="16" t="str">
        <f t="shared" si="159"/>
        <v>AOP</v>
      </c>
      <c r="S486" s="17">
        <f t="shared" si="155"/>
        <v>199.66587047375111</v>
      </c>
      <c r="T486" s="18" t="e">
        <f t="shared" si="160"/>
        <v>#DIV/0!</v>
      </c>
      <c r="U486" s="23" t="e">
        <f t="shared" si="152"/>
        <v>#DIV/0!</v>
      </c>
      <c r="Y486" s="8" t="str">
        <f t="shared" si="161"/>
        <v>PAUH68568PC1.5</v>
      </c>
      <c r="Z486" s="8" t="str">
        <f>IF(Y486='Input - Bookings'!Q719,"OK","Check")</f>
        <v>Check</v>
      </c>
      <c r="AA486" s="118"/>
      <c r="AB486" s="103"/>
      <c r="AC486" s="103"/>
      <c r="AD486" s="100">
        <f t="shared" si="162"/>
        <v>641.02582576834698</v>
      </c>
      <c r="AE486" s="100"/>
      <c r="AF486" s="8" t="str">
        <f t="array" ref="AF486">_xlfn.XLOOKUP($G486,'AP Plants'!D:D,'AP Plants'!B:B)</f>
        <v>Class 3</v>
      </c>
      <c r="AG486" s="102">
        <f>AD486*'Currency &amp; Conversion'!$L$6</f>
        <v>954.61565973422239</v>
      </c>
      <c r="AH486" s="102"/>
      <c r="AI486" s="44">
        <v>1.4999999999999999E-2</v>
      </c>
      <c r="AJ486" s="15">
        <f>_xlfn.XLOOKUP($AF486,Warranty!B:B,Warranty!E:E)</f>
        <v>1.4999999999999999E-2</v>
      </c>
      <c r="AK486" s="8">
        <f>IF($I486="AUD",VLOOKUP(RIGHT('Wk - Margins'!$G486,3),'AU Freight'!C:G,5,0),0)</f>
        <v>100</v>
      </c>
      <c r="AL486" s="15">
        <f t="shared" si="153"/>
        <v>0</v>
      </c>
      <c r="AM486" s="61">
        <f t="shared" si="151"/>
        <v>1083.254129526249</v>
      </c>
      <c r="AN486" s="63">
        <f t="shared" si="154"/>
        <v>0.15563392142436872</v>
      </c>
      <c r="AQ486" s="147"/>
    </row>
    <row r="487" spans="1:43">
      <c r="A487" s="10" t="str">
        <f>'Input - Bookings'!A487</f>
        <v>10-27</v>
      </c>
      <c r="B487" s="11" t="str">
        <f>'Input - Bookings'!C487</f>
        <v>P</v>
      </c>
      <c r="C487" s="11" t="str">
        <f>'Input - Bookings'!H487</f>
        <v>AU</v>
      </c>
      <c r="D487" s="24" t="str">
        <f>'Input - Bookings'!E487</f>
        <v>065</v>
      </c>
      <c r="E487" s="24" t="str">
        <f>'Input - Bookings'!G487</f>
        <v>ADAPT-A-LIFT GROUP (VIC)</v>
      </c>
      <c r="F487" s="146" t="str">
        <f>'Input - Bookings'!I487</f>
        <v>H68570</v>
      </c>
      <c r="G487" s="24" t="str">
        <f>'Input - Bookings'!L487</f>
        <v>A6W9</v>
      </c>
      <c r="H487" s="24" t="str">
        <f>'Input - Bookings'!M487</f>
        <v>PC1.5</v>
      </c>
      <c r="I487" s="24" t="str">
        <f>'Input - Bookings'!B487</f>
        <v>AUD</v>
      </c>
      <c r="J487" s="13" t="str">
        <f>IF(I487="USD",INDEX('AP Plants'!A:A,MATCH(G487,'AP Plants'!D:D,0)),INDEX('Australia Plants'!A:A,MATCH(G487,'Australia Plants'!D:D,0)))</f>
        <v>Staxx</v>
      </c>
      <c r="K487" s="73">
        <v>1</v>
      </c>
      <c r="L487" s="97">
        <v>2140</v>
      </c>
      <c r="M487" s="97">
        <v>1282.92</v>
      </c>
      <c r="N487" s="99">
        <v>0.15563392142436872</v>
      </c>
      <c r="O487" s="25">
        <f t="shared" si="157"/>
        <v>0.40050467289719627</v>
      </c>
      <c r="P487" s="14">
        <f>IFERROR(IF(OR(B487&amp;C487="PAU",B487&amp;C487="AIN"),VLOOKUP(B487&amp;C487&amp;G487,#REF!,8,0),VLOOKUP(B487&amp;G487,#REF!,8,0)),0)</f>
        <v>0</v>
      </c>
      <c r="Q487" s="15">
        <f t="shared" si="158"/>
        <v>0.15563392142436872</v>
      </c>
      <c r="R487" s="16" t="str">
        <f t="shared" si="159"/>
        <v>AOP</v>
      </c>
      <c r="S487" s="17">
        <f t="shared" si="155"/>
        <v>199.66587047375111</v>
      </c>
      <c r="T487" s="18" t="e">
        <f t="shared" si="160"/>
        <v>#DIV/0!</v>
      </c>
      <c r="U487" s="23" t="e">
        <f t="shared" si="152"/>
        <v>#DIV/0!</v>
      </c>
      <c r="Y487" s="8" t="str">
        <f t="shared" si="161"/>
        <v>PAUH68570PC1.5</v>
      </c>
      <c r="Z487" s="8" t="str">
        <f>IF(Y487='Input - Bookings'!Q720,"OK","Check")</f>
        <v>Check</v>
      </c>
      <c r="AA487" s="118"/>
      <c r="AB487" s="103"/>
      <c r="AC487" s="103"/>
      <c r="AD487" s="100">
        <f t="shared" si="162"/>
        <v>641.02582576834698</v>
      </c>
      <c r="AE487" s="100"/>
      <c r="AF487" s="8" t="str">
        <f t="array" ref="AF487">_xlfn.XLOOKUP($G487,'AP Plants'!D:D,'AP Plants'!B:B)</f>
        <v>Class 3</v>
      </c>
      <c r="AG487" s="102">
        <f>AD487*'Currency &amp; Conversion'!$L$6</f>
        <v>954.61565973422239</v>
      </c>
      <c r="AH487" s="102"/>
      <c r="AI487" s="44">
        <v>1.4999999999999999E-2</v>
      </c>
      <c r="AJ487" s="15">
        <f>_xlfn.XLOOKUP($AF487,Warranty!B:B,Warranty!E:E)</f>
        <v>1.4999999999999999E-2</v>
      </c>
      <c r="AK487" s="8">
        <f>IF($I487="AUD",VLOOKUP(RIGHT('Wk - Margins'!$G487,3),'AU Freight'!C:G,5,0),0)</f>
        <v>100</v>
      </c>
      <c r="AL487" s="15">
        <f t="shared" si="153"/>
        <v>0</v>
      </c>
      <c r="AM487" s="61">
        <f t="shared" si="151"/>
        <v>1083.254129526249</v>
      </c>
      <c r="AN487" s="63">
        <f t="shared" si="154"/>
        <v>0.15563392142436872</v>
      </c>
      <c r="AQ487" s="147"/>
    </row>
    <row r="488" spans="1:43">
      <c r="A488" s="10" t="str">
        <f>'Input - Bookings'!A488</f>
        <v>10-27</v>
      </c>
      <c r="B488" s="11" t="str">
        <f>'Input - Bookings'!C488</f>
        <v>P</v>
      </c>
      <c r="C488" s="11" t="str">
        <f>'Input - Bookings'!H488</f>
        <v>AU</v>
      </c>
      <c r="D488" s="24" t="str">
        <f>'Input - Bookings'!E488</f>
        <v>065</v>
      </c>
      <c r="E488" s="24" t="str">
        <f>'Input - Bookings'!G488</f>
        <v>ADAPT-A-LIFT GROUP (VIC)</v>
      </c>
      <c r="F488" s="146" t="str">
        <f>'Input - Bookings'!I488</f>
        <v>H68572</v>
      </c>
      <c r="G488" s="24" t="str">
        <f>'Input - Bookings'!L488</f>
        <v>A6W9</v>
      </c>
      <c r="H488" s="24" t="str">
        <f>'Input - Bookings'!M488</f>
        <v>PC1.5</v>
      </c>
      <c r="I488" s="24" t="str">
        <f>'Input - Bookings'!B488</f>
        <v>AUD</v>
      </c>
      <c r="J488" s="13" t="str">
        <f>IF(I488="USD",INDEX('AP Plants'!A:A,MATCH(G488,'AP Plants'!D:D,0)),INDEX('Australia Plants'!A:A,MATCH(G488,'Australia Plants'!D:D,0)))</f>
        <v>Staxx</v>
      </c>
      <c r="K488" s="73">
        <v>1</v>
      </c>
      <c r="L488" s="97">
        <v>2140</v>
      </c>
      <c r="M488" s="97">
        <v>1282.92</v>
      </c>
      <c r="N488" s="99">
        <v>0.15563392142436872</v>
      </c>
      <c r="O488" s="25">
        <f t="shared" si="157"/>
        <v>0.40050467289719627</v>
      </c>
      <c r="P488" s="14">
        <f>IFERROR(IF(OR(B488&amp;C488="PAU",B488&amp;C488="AIN"),VLOOKUP(B488&amp;C488&amp;G488,#REF!,8,0),VLOOKUP(B488&amp;G488,#REF!,8,0)),0)</f>
        <v>0</v>
      </c>
      <c r="Q488" s="15">
        <f t="shared" si="158"/>
        <v>0.15563392142436872</v>
      </c>
      <c r="R488" s="16" t="str">
        <f t="shared" si="159"/>
        <v>AOP</v>
      </c>
      <c r="S488" s="17">
        <f t="shared" si="155"/>
        <v>199.66587047375111</v>
      </c>
      <c r="T488" s="18" t="e">
        <f t="shared" si="160"/>
        <v>#DIV/0!</v>
      </c>
      <c r="U488" s="23" t="e">
        <f t="shared" si="152"/>
        <v>#DIV/0!</v>
      </c>
      <c r="Y488" s="8" t="str">
        <f t="shared" si="161"/>
        <v>PAUH68572PC1.5</v>
      </c>
      <c r="Z488" s="8" t="str">
        <f>IF(Y488='Input - Bookings'!Q721,"OK","Check")</f>
        <v>Check</v>
      </c>
      <c r="AA488" s="118"/>
      <c r="AB488" s="103"/>
      <c r="AC488" s="103"/>
      <c r="AD488" s="100">
        <f t="shared" si="162"/>
        <v>641.02582576834698</v>
      </c>
      <c r="AE488" s="100"/>
      <c r="AF488" s="8" t="str">
        <f t="array" ref="AF488">_xlfn.XLOOKUP($G488,'AP Plants'!D:D,'AP Plants'!B:B)</f>
        <v>Class 3</v>
      </c>
      <c r="AG488" s="102">
        <f>AD488*'Currency &amp; Conversion'!$L$6</f>
        <v>954.61565973422239</v>
      </c>
      <c r="AH488" s="102"/>
      <c r="AI488" s="44">
        <v>1.4999999999999999E-2</v>
      </c>
      <c r="AJ488" s="15">
        <f>_xlfn.XLOOKUP($AF488,Warranty!B:B,Warranty!E:E)</f>
        <v>1.4999999999999999E-2</v>
      </c>
      <c r="AK488" s="8">
        <f>IF($I488="AUD",VLOOKUP(RIGHT('Wk - Margins'!$G488,3),'AU Freight'!C:G,5,0),0)</f>
        <v>100</v>
      </c>
      <c r="AL488" s="15">
        <f t="shared" si="153"/>
        <v>0</v>
      </c>
      <c r="AM488" s="61">
        <f t="shared" si="151"/>
        <v>1083.254129526249</v>
      </c>
      <c r="AN488" s="63">
        <f t="shared" si="154"/>
        <v>0.15563392142436872</v>
      </c>
      <c r="AQ488" s="147"/>
    </row>
    <row r="489" spans="1:43">
      <c r="A489" s="10" t="str">
        <f>'Input - Bookings'!A489</f>
        <v>10-27</v>
      </c>
      <c r="B489" s="11" t="str">
        <f>'Input - Bookings'!C489</f>
        <v>P</v>
      </c>
      <c r="C489" s="11" t="str">
        <f>'Input - Bookings'!H489</f>
        <v>AU</v>
      </c>
      <c r="D489" s="24" t="str">
        <f>'Input - Bookings'!E489</f>
        <v>065</v>
      </c>
      <c r="E489" s="24" t="str">
        <f>'Input - Bookings'!G489</f>
        <v>ADAPT-A-LIFT GROUP (VIC)</v>
      </c>
      <c r="F489" s="146" t="str">
        <f>'Input - Bookings'!I489</f>
        <v>H68574</v>
      </c>
      <c r="G489" s="24" t="str">
        <f>'Input - Bookings'!L489</f>
        <v>A6W9</v>
      </c>
      <c r="H489" s="24" t="str">
        <f>'Input - Bookings'!M489</f>
        <v>PC1.5</v>
      </c>
      <c r="I489" s="24" t="str">
        <f>'Input - Bookings'!B489</f>
        <v>AUD</v>
      </c>
      <c r="J489" s="13" t="str">
        <f>IF(I489="USD",INDEX('AP Plants'!A:A,MATCH(G489,'AP Plants'!D:D,0)),INDEX('Australia Plants'!A:A,MATCH(G489,'Australia Plants'!D:D,0)))</f>
        <v>Staxx</v>
      </c>
      <c r="K489" s="73">
        <v>1</v>
      </c>
      <c r="L489" s="97">
        <v>2140</v>
      </c>
      <c r="M489" s="97">
        <v>1282.92</v>
      </c>
      <c r="N489" s="99">
        <v>0.15563392142436872</v>
      </c>
      <c r="O489" s="25">
        <f t="shared" si="157"/>
        <v>0.40050467289719627</v>
      </c>
      <c r="P489" s="14">
        <f>IFERROR(IF(OR(B489&amp;C489="PAU",B489&amp;C489="AIN"),VLOOKUP(B489&amp;C489&amp;G489,#REF!,8,0),VLOOKUP(B489&amp;G489,#REF!,8,0)),0)</f>
        <v>0</v>
      </c>
      <c r="Q489" s="15">
        <f t="shared" si="158"/>
        <v>0.15563392142436872</v>
      </c>
      <c r="R489" s="16" t="str">
        <f t="shared" si="159"/>
        <v>AOP</v>
      </c>
      <c r="S489" s="17">
        <f t="shared" si="155"/>
        <v>199.66587047375111</v>
      </c>
      <c r="T489" s="18" t="e">
        <f t="shared" si="160"/>
        <v>#DIV/0!</v>
      </c>
      <c r="U489" s="23" t="e">
        <f t="shared" si="152"/>
        <v>#DIV/0!</v>
      </c>
      <c r="Y489" s="8" t="str">
        <f t="shared" si="161"/>
        <v>PAUH68574PC1.5</v>
      </c>
      <c r="Z489" s="8" t="str">
        <f>IF(Y489='Input - Bookings'!Q722,"OK","Check")</f>
        <v>Check</v>
      </c>
      <c r="AA489" s="139"/>
      <c r="AB489" s="103"/>
      <c r="AC489" s="103"/>
      <c r="AD489" s="100">
        <f t="shared" si="162"/>
        <v>641.02582576834698</v>
      </c>
      <c r="AE489" s="100"/>
      <c r="AF489" s="8" t="str">
        <f t="array" ref="AF489">_xlfn.XLOOKUP($G489,'AP Plants'!D:D,'AP Plants'!B:B)</f>
        <v>Class 3</v>
      </c>
      <c r="AG489" s="102">
        <f>AD489*'Currency &amp; Conversion'!$L$6</f>
        <v>954.61565973422239</v>
      </c>
      <c r="AH489" s="102"/>
      <c r="AI489" s="44">
        <v>1.4999999999999999E-2</v>
      </c>
      <c r="AJ489" s="15">
        <f>_xlfn.XLOOKUP($AF489,Warranty!B:B,Warranty!E:E)</f>
        <v>1.4999999999999999E-2</v>
      </c>
      <c r="AK489" s="8">
        <f>IF($I489="AUD",VLOOKUP(RIGHT('Wk - Margins'!$G489,3),'AU Freight'!C:G,5,0),0)</f>
        <v>100</v>
      </c>
      <c r="AL489" s="15">
        <f t="shared" si="153"/>
        <v>0</v>
      </c>
      <c r="AM489" s="61">
        <f t="shared" si="151"/>
        <v>1083.254129526249</v>
      </c>
      <c r="AN489" s="63">
        <f t="shared" si="154"/>
        <v>0.15563392142436872</v>
      </c>
      <c r="AQ489" s="147"/>
    </row>
    <row r="490" spans="1:43">
      <c r="A490" s="10" t="str">
        <f>'Input - Bookings'!A490</f>
        <v>10-27</v>
      </c>
      <c r="B490" s="11" t="str">
        <f>'Input - Bookings'!C490</f>
        <v>P</v>
      </c>
      <c r="C490" s="11" t="str">
        <f>'Input - Bookings'!H490</f>
        <v>AU</v>
      </c>
      <c r="D490" s="24" t="str">
        <f>'Input - Bookings'!E490</f>
        <v>065</v>
      </c>
      <c r="E490" s="24" t="str">
        <f>'Input - Bookings'!G490</f>
        <v>ADAPT-A-LIFT GROUP (VIC)</v>
      </c>
      <c r="F490" s="146" t="str">
        <f>'Input - Bookings'!I490</f>
        <v>H68576</v>
      </c>
      <c r="G490" s="24" t="str">
        <f>'Input - Bookings'!L490</f>
        <v>A6W9</v>
      </c>
      <c r="H490" s="24" t="str">
        <f>'Input - Bookings'!M490</f>
        <v>PC1.5</v>
      </c>
      <c r="I490" s="24" t="str">
        <f>'Input - Bookings'!B490</f>
        <v>AUD</v>
      </c>
      <c r="J490" s="13" t="str">
        <f>IF(I490="USD",INDEX('AP Plants'!A:A,MATCH(G490,'AP Plants'!D:D,0)),INDEX('Australia Plants'!A:A,MATCH(G490,'Australia Plants'!D:D,0)))</f>
        <v>Staxx</v>
      </c>
      <c r="K490" s="73">
        <v>1</v>
      </c>
      <c r="L490" s="97">
        <v>2140</v>
      </c>
      <c r="M490" s="97">
        <v>1282.92</v>
      </c>
      <c r="N490" s="99">
        <v>0.15563392142436872</v>
      </c>
      <c r="O490" s="25">
        <f t="shared" si="157"/>
        <v>0.40050467289719627</v>
      </c>
      <c r="P490" s="14">
        <f>IFERROR(IF(OR(B490&amp;C490="PAU",B490&amp;C490="AIN"),VLOOKUP(B490&amp;C490&amp;G490,#REF!,8,0),VLOOKUP(B490&amp;G490,#REF!,8,0)),0)</f>
        <v>0</v>
      </c>
      <c r="Q490" s="15">
        <f t="shared" si="158"/>
        <v>0.15563392142436872</v>
      </c>
      <c r="R490" s="16" t="str">
        <f t="shared" si="159"/>
        <v>AOP</v>
      </c>
      <c r="S490" s="17">
        <f t="shared" si="155"/>
        <v>199.66587047375111</v>
      </c>
      <c r="T490" s="18" t="e">
        <f t="shared" si="160"/>
        <v>#DIV/0!</v>
      </c>
      <c r="U490" s="23" t="e">
        <f t="shared" si="152"/>
        <v>#DIV/0!</v>
      </c>
      <c r="Y490" s="8" t="str">
        <f t="shared" si="161"/>
        <v>PAUH68576PC1.5</v>
      </c>
      <c r="Z490" s="8" t="str">
        <f>IF(Y490='Input - Bookings'!Q723,"OK","Check")</f>
        <v>Check</v>
      </c>
      <c r="AA490" s="118"/>
      <c r="AB490" s="103"/>
      <c r="AC490" s="103"/>
      <c r="AD490" s="100">
        <f t="shared" si="162"/>
        <v>641.02582576834698</v>
      </c>
      <c r="AE490" s="98"/>
      <c r="AF490" s="8" t="str">
        <f t="array" ref="AF490">_xlfn.XLOOKUP($G490,'AP Plants'!D:D,'AP Plants'!B:B)</f>
        <v>Class 3</v>
      </c>
      <c r="AG490" s="102">
        <f>AD490*'Currency &amp; Conversion'!$L$6</f>
        <v>954.61565973422239</v>
      </c>
      <c r="AH490" s="102"/>
      <c r="AI490" s="44">
        <v>1.4999999999999999E-2</v>
      </c>
      <c r="AJ490" s="15">
        <f>_xlfn.XLOOKUP($AF490,Warranty!B:B,Warranty!E:E)</f>
        <v>1.4999999999999999E-2</v>
      </c>
      <c r="AK490" s="8">
        <f>IF($I490="AUD",VLOOKUP(RIGHT('Wk - Margins'!$G490,3),'AU Freight'!C:G,5,0),0)</f>
        <v>100</v>
      </c>
      <c r="AL490" s="15">
        <f t="shared" si="153"/>
        <v>0</v>
      </c>
      <c r="AM490" s="61">
        <f t="shared" si="151"/>
        <v>1083.254129526249</v>
      </c>
      <c r="AN490" s="63">
        <f t="shared" si="154"/>
        <v>0.15563392142436872</v>
      </c>
      <c r="AQ490" s="147"/>
    </row>
    <row r="491" spans="1:43">
      <c r="A491" s="10" t="str">
        <f>'Input - Bookings'!A491</f>
        <v>10-27</v>
      </c>
      <c r="B491" s="11" t="str">
        <f>'Input - Bookings'!C491</f>
        <v>P</v>
      </c>
      <c r="C491" s="11" t="str">
        <f>'Input - Bookings'!H491</f>
        <v>AU</v>
      </c>
      <c r="D491" s="24" t="str">
        <f>'Input - Bookings'!E491</f>
        <v>065</v>
      </c>
      <c r="E491" s="24" t="str">
        <f>'Input - Bookings'!G491</f>
        <v>ADAPT-A-LIFT GROUP (VIC)</v>
      </c>
      <c r="F491" s="146" t="str">
        <f>'Input - Bookings'!I491</f>
        <v>H68578</v>
      </c>
      <c r="G491" s="24" t="str">
        <f>'Input - Bookings'!L491</f>
        <v>A6W9</v>
      </c>
      <c r="H491" s="24" t="str">
        <f>'Input - Bookings'!M491</f>
        <v>PC1.5</v>
      </c>
      <c r="I491" s="24" t="str">
        <f>'Input - Bookings'!B491</f>
        <v>AUD</v>
      </c>
      <c r="J491" s="13" t="str">
        <f>IF(I491="USD",INDEX('AP Plants'!A:A,MATCH(G491,'AP Plants'!D:D,0)),INDEX('Australia Plants'!A:A,MATCH(G491,'Australia Plants'!D:D,0)))</f>
        <v>Staxx</v>
      </c>
      <c r="K491" s="73">
        <v>1</v>
      </c>
      <c r="L491" s="97">
        <v>2140</v>
      </c>
      <c r="M491" s="97">
        <v>1282.92</v>
      </c>
      <c r="N491" s="99">
        <v>0.15563392142436872</v>
      </c>
      <c r="O491" s="25">
        <f t="shared" si="157"/>
        <v>0.40050467289719627</v>
      </c>
      <c r="P491" s="14">
        <f>IFERROR(IF(OR(B491&amp;C491="PAU",B491&amp;C491="AIN"),VLOOKUP(B491&amp;C491&amp;G491,#REF!,8,0),VLOOKUP(B491&amp;G491,#REF!,8,0)),0)</f>
        <v>0</v>
      </c>
      <c r="Q491" s="15">
        <f t="shared" si="158"/>
        <v>0.15563392142436872</v>
      </c>
      <c r="R491" s="16" t="str">
        <f t="shared" si="159"/>
        <v>AOP</v>
      </c>
      <c r="S491" s="17">
        <f t="shared" si="155"/>
        <v>199.66587047375111</v>
      </c>
      <c r="T491" s="18" t="e">
        <f t="shared" si="160"/>
        <v>#DIV/0!</v>
      </c>
      <c r="U491" s="23" t="e">
        <f t="shared" si="152"/>
        <v>#DIV/0!</v>
      </c>
      <c r="Y491" s="8" t="str">
        <f t="shared" si="161"/>
        <v>PAUH68578PC1.5</v>
      </c>
      <c r="Z491" s="8" t="str">
        <f>IF(Y491='Input - Bookings'!Q724,"OK","Check")</f>
        <v>Check</v>
      </c>
      <c r="AA491" s="118"/>
      <c r="AB491" s="103"/>
      <c r="AC491" s="103"/>
      <c r="AD491" s="100">
        <f t="shared" si="162"/>
        <v>641.02582576834698</v>
      </c>
      <c r="AE491" s="98"/>
      <c r="AF491" s="8" t="str">
        <f t="array" ref="AF491">_xlfn.XLOOKUP($G491,'AP Plants'!D:D,'AP Plants'!B:B)</f>
        <v>Class 3</v>
      </c>
      <c r="AG491" s="102">
        <f>AD491*'Currency &amp; Conversion'!$L$6</f>
        <v>954.61565973422239</v>
      </c>
      <c r="AH491" s="102"/>
      <c r="AI491" s="44">
        <v>1.4999999999999999E-2</v>
      </c>
      <c r="AJ491" s="15">
        <f>_xlfn.XLOOKUP($AF491,Warranty!B:B,Warranty!E:E)</f>
        <v>1.4999999999999999E-2</v>
      </c>
      <c r="AK491" s="8">
        <f>IF($I491="AUD",VLOOKUP(RIGHT('Wk - Margins'!$G491,3),'AU Freight'!C:G,5,0),0)</f>
        <v>100</v>
      </c>
      <c r="AL491" s="15">
        <f t="shared" si="153"/>
        <v>0</v>
      </c>
      <c r="AM491" s="61">
        <f t="shared" si="151"/>
        <v>1083.254129526249</v>
      </c>
      <c r="AN491" s="63">
        <f t="shared" si="154"/>
        <v>0.15563392142436872</v>
      </c>
      <c r="AQ491" s="147"/>
    </row>
    <row r="492" spans="1:43">
      <c r="A492" s="10" t="str">
        <f>'Input - Bookings'!A492</f>
        <v>10-27</v>
      </c>
      <c r="B492" s="11" t="str">
        <f>'Input - Bookings'!C492</f>
        <v>P</v>
      </c>
      <c r="C492" s="11" t="str">
        <f>'Input - Bookings'!H492</f>
        <v>AU</v>
      </c>
      <c r="D492" s="24" t="str">
        <f>'Input - Bookings'!E492</f>
        <v>065</v>
      </c>
      <c r="E492" s="24" t="str">
        <f>'Input - Bookings'!G492</f>
        <v>ADAPT-A-LIFT GROUP (VIC)</v>
      </c>
      <c r="F492" s="146" t="str">
        <f>'Input - Bookings'!I492</f>
        <v>H68580</v>
      </c>
      <c r="G492" s="24" t="str">
        <f>'Input - Bookings'!L492</f>
        <v>A6W9</v>
      </c>
      <c r="H492" s="24" t="str">
        <f>'Input - Bookings'!M492</f>
        <v>PC1.5</v>
      </c>
      <c r="I492" s="24" t="str">
        <f>'Input - Bookings'!B492</f>
        <v>AUD</v>
      </c>
      <c r="J492" s="13" t="str">
        <f>IF(I492="USD",INDEX('AP Plants'!A:A,MATCH(G492,'AP Plants'!D:D,0)),INDEX('Australia Plants'!A:A,MATCH(G492,'Australia Plants'!D:D,0)))</f>
        <v>Staxx</v>
      </c>
      <c r="K492" s="73">
        <v>1</v>
      </c>
      <c r="L492" s="97">
        <v>2140</v>
      </c>
      <c r="M492" s="97">
        <v>1282.92</v>
      </c>
      <c r="N492" s="99">
        <v>0.15563392142436872</v>
      </c>
      <c r="O492" s="25">
        <f t="shared" si="157"/>
        <v>0.40050467289719627</v>
      </c>
      <c r="P492" s="14">
        <f>IFERROR(IF(OR(B492&amp;C492="PAU",B492&amp;C492="AIN"),VLOOKUP(B492&amp;C492&amp;G492,#REF!,8,0),VLOOKUP(B492&amp;G492,#REF!,8,0)),0)</f>
        <v>0</v>
      </c>
      <c r="Q492" s="15">
        <f t="shared" si="158"/>
        <v>0.15563392142436872</v>
      </c>
      <c r="R492" s="16" t="str">
        <f t="shared" si="159"/>
        <v>AOP</v>
      </c>
      <c r="S492" s="17">
        <f t="shared" si="155"/>
        <v>199.66587047375111</v>
      </c>
      <c r="T492" s="18" t="e">
        <f t="shared" si="160"/>
        <v>#DIV/0!</v>
      </c>
      <c r="U492" s="23" t="e">
        <f t="shared" si="152"/>
        <v>#DIV/0!</v>
      </c>
      <c r="Y492" s="8" t="str">
        <f t="shared" si="161"/>
        <v>PAUH68580PC1.5</v>
      </c>
      <c r="Z492" s="8" t="str">
        <f>IF(Y492='Input - Bookings'!Q725,"OK","Check")</f>
        <v>Check</v>
      </c>
      <c r="AA492" s="118"/>
      <c r="AB492" s="103"/>
      <c r="AC492" s="103"/>
      <c r="AD492" s="100">
        <f t="shared" si="162"/>
        <v>641.02582576834698</v>
      </c>
      <c r="AE492" s="98"/>
      <c r="AF492" s="8" t="str">
        <f t="array" ref="AF492">_xlfn.XLOOKUP($G492,'AP Plants'!D:D,'AP Plants'!B:B)</f>
        <v>Class 3</v>
      </c>
      <c r="AG492" s="102">
        <f>AD492*'Currency &amp; Conversion'!$L$6</f>
        <v>954.61565973422239</v>
      </c>
      <c r="AH492" s="102"/>
      <c r="AI492" s="44">
        <v>1.4999999999999999E-2</v>
      </c>
      <c r="AJ492" s="15">
        <f>_xlfn.XLOOKUP($AF492,Warranty!B:B,Warranty!E:E)</f>
        <v>1.4999999999999999E-2</v>
      </c>
      <c r="AK492" s="8">
        <f>IF($I492="AUD",VLOOKUP(RIGHT('Wk - Margins'!$G492,3),'AU Freight'!C:G,5,0),0)</f>
        <v>100</v>
      </c>
      <c r="AL492" s="15">
        <f t="shared" si="153"/>
        <v>0</v>
      </c>
      <c r="AM492" s="61">
        <f t="shared" si="151"/>
        <v>1083.254129526249</v>
      </c>
      <c r="AN492" s="63">
        <f t="shared" si="154"/>
        <v>0.15563392142436872</v>
      </c>
      <c r="AQ492" s="147"/>
    </row>
    <row r="493" spans="1:43">
      <c r="A493" s="10" t="str">
        <f>'Input - Bookings'!A493</f>
        <v>10-27</v>
      </c>
      <c r="B493" s="11" t="str">
        <f>'Input - Bookings'!C493</f>
        <v>P</v>
      </c>
      <c r="C493" s="11" t="str">
        <f>'Input - Bookings'!H493</f>
        <v>AU</v>
      </c>
      <c r="D493" s="24" t="str">
        <f>'Input - Bookings'!E493</f>
        <v>065</v>
      </c>
      <c r="E493" s="24" t="str">
        <f>'Input - Bookings'!G493</f>
        <v>ADAPT-A-LIFT GROUP (VIC)</v>
      </c>
      <c r="F493" s="146" t="str">
        <f>'Input - Bookings'!I493</f>
        <v>H68582</v>
      </c>
      <c r="G493" s="24" t="str">
        <f>'Input - Bookings'!L493</f>
        <v>A6W9</v>
      </c>
      <c r="H493" s="24" t="str">
        <f>'Input - Bookings'!M493</f>
        <v>PC1.5</v>
      </c>
      <c r="I493" s="24" t="str">
        <f>'Input - Bookings'!B493</f>
        <v>AUD</v>
      </c>
      <c r="J493" s="13" t="str">
        <f>IF(I493="USD",INDEX('AP Plants'!A:A,MATCH(G493,'AP Plants'!D:D,0)),INDEX('Australia Plants'!A:A,MATCH(G493,'Australia Plants'!D:D,0)))</f>
        <v>Staxx</v>
      </c>
      <c r="K493" s="73">
        <v>1</v>
      </c>
      <c r="L493" s="97">
        <v>2140</v>
      </c>
      <c r="M493" s="97">
        <v>1282.92</v>
      </c>
      <c r="N493" s="99">
        <v>0.15563392142436872</v>
      </c>
      <c r="O493" s="25">
        <f t="shared" si="157"/>
        <v>0.40050467289719627</v>
      </c>
      <c r="P493" s="14">
        <f>IFERROR(IF(OR(B493&amp;C493="PAU",B493&amp;C493="AIN"),VLOOKUP(B493&amp;C493&amp;G493,#REF!,8,0),VLOOKUP(B493&amp;G493,#REF!,8,0)),0)</f>
        <v>0</v>
      </c>
      <c r="Q493" s="15">
        <f t="shared" si="158"/>
        <v>0.15563392142436872</v>
      </c>
      <c r="R493" s="16" t="str">
        <f t="shared" si="159"/>
        <v>AOP</v>
      </c>
      <c r="S493" s="17">
        <f t="shared" si="155"/>
        <v>199.66587047375111</v>
      </c>
      <c r="T493" s="18" t="e">
        <f t="shared" si="160"/>
        <v>#DIV/0!</v>
      </c>
      <c r="U493" s="23" t="e">
        <f t="shared" si="152"/>
        <v>#DIV/0!</v>
      </c>
      <c r="Y493" s="8" t="str">
        <f t="shared" si="161"/>
        <v>PAUH68582PC1.5</v>
      </c>
      <c r="Z493" s="8" t="str">
        <f>IF(Y493='Input - Bookings'!Q726,"OK","Check")</f>
        <v>Check</v>
      </c>
      <c r="AA493" s="118"/>
      <c r="AB493" s="103"/>
      <c r="AC493" s="103"/>
      <c r="AD493" s="100">
        <f t="shared" si="162"/>
        <v>641.02582576834698</v>
      </c>
      <c r="AE493" s="100"/>
      <c r="AF493" s="8" t="str">
        <f t="array" ref="AF493">_xlfn.XLOOKUP($G493,'AP Plants'!D:D,'AP Plants'!B:B)</f>
        <v>Class 3</v>
      </c>
      <c r="AG493" s="102">
        <f>AD493*'Currency &amp; Conversion'!$L$6</f>
        <v>954.61565973422239</v>
      </c>
      <c r="AH493" s="102"/>
      <c r="AI493" s="44">
        <v>1.4999999999999999E-2</v>
      </c>
      <c r="AJ493" s="15">
        <f>_xlfn.XLOOKUP($AF493,Warranty!B:B,Warranty!E:E)</f>
        <v>1.4999999999999999E-2</v>
      </c>
      <c r="AK493" s="8">
        <f>IF($I493="AUD",VLOOKUP(RIGHT('Wk - Margins'!$G493,3),'AU Freight'!C:G,5,0),0)</f>
        <v>100</v>
      </c>
      <c r="AL493" s="15">
        <f t="shared" si="153"/>
        <v>0</v>
      </c>
      <c r="AM493" s="61">
        <f t="shared" si="151"/>
        <v>1083.254129526249</v>
      </c>
      <c r="AN493" s="63">
        <f t="shared" si="154"/>
        <v>0.15563392142436872</v>
      </c>
      <c r="AQ493" s="147"/>
    </row>
    <row r="494" spans="1:43">
      <c r="A494" s="10" t="str">
        <f>'Input - Bookings'!A494</f>
        <v>10-27</v>
      </c>
      <c r="B494" s="11" t="str">
        <f>'Input - Bookings'!C494</f>
        <v>P</v>
      </c>
      <c r="C494" s="11" t="str">
        <f>'Input - Bookings'!H494</f>
        <v>AU</v>
      </c>
      <c r="D494" s="24" t="str">
        <f>'Input - Bookings'!E494</f>
        <v>065</v>
      </c>
      <c r="E494" s="24" t="str">
        <f>'Input - Bookings'!G494</f>
        <v>ADAPT-A-LIFT GROUP (VIC)</v>
      </c>
      <c r="F494" s="146" t="str">
        <f>'Input - Bookings'!I494</f>
        <v>H68584</v>
      </c>
      <c r="G494" s="24" t="str">
        <f>'Input - Bookings'!L494</f>
        <v>A6W9</v>
      </c>
      <c r="H494" s="24" t="str">
        <f>'Input - Bookings'!M494</f>
        <v>PC1.5</v>
      </c>
      <c r="I494" s="24" t="str">
        <f>'Input - Bookings'!B494</f>
        <v>AUD</v>
      </c>
      <c r="J494" s="13" t="str">
        <f>IF(I494="USD",INDEX('AP Plants'!A:A,MATCH(G494,'AP Plants'!D:D,0)),INDEX('Australia Plants'!A:A,MATCH(G494,'Australia Plants'!D:D,0)))</f>
        <v>Staxx</v>
      </c>
      <c r="K494" s="73">
        <v>1</v>
      </c>
      <c r="L494" s="97">
        <v>2140</v>
      </c>
      <c r="M494" s="97">
        <v>1282.92</v>
      </c>
      <c r="N494" s="99">
        <v>0.15563392142436872</v>
      </c>
      <c r="O494" s="25">
        <f t="shared" si="157"/>
        <v>0.40050467289719627</v>
      </c>
      <c r="P494" s="14">
        <f>IFERROR(IF(OR(B494&amp;C494="PAU",B494&amp;C494="AIN"),VLOOKUP(B494&amp;C494&amp;G494,#REF!,8,0),VLOOKUP(B494&amp;G494,#REF!,8,0)),0)</f>
        <v>0</v>
      </c>
      <c r="Q494" s="15">
        <f t="shared" si="158"/>
        <v>0.15563392142436872</v>
      </c>
      <c r="R494" s="16" t="str">
        <f t="shared" si="159"/>
        <v>AOP</v>
      </c>
      <c r="S494" s="17">
        <f t="shared" si="155"/>
        <v>199.66587047375111</v>
      </c>
      <c r="T494" s="18" t="e">
        <f t="shared" si="160"/>
        <v>#DIV/0!</v>
      </c>
      <c r="U494" s="23" t="e">
        <f t="shared" si="152"/>
        <v>#DIV/0!</v>
      </c>
      <c r="Y494" s="8" t="str">
        <f t="shared" si="161"/>
        <v>PAUH68584PC1.5</v>
      </c>
      <c r="Z494" s="8" t="str">
        <f>IF(Y494='Input - Bookings'!Q727,"OK","Check")</f>
        <v>Check</v>
      </c>
      <c r="AA494" s="118"/>
      <c r="AB494" s="103"/>
      <c r="AC494" s="103"/>
      <c r="AD494" s="100">
        <f t="shared" si="162"/>
        <v>641.02582576834698</v>
      </c>
      <c r="AE494" s="100"/>
      <c r="AF494" s="8" t="str">
        <f t="array" ref="AF494">_xlfn.XLOOKUP($G494,'AP Plants'!D:D,'AP Plants'!B:B)</f>
        <v>Class 3</v>
      </c>
      <c r="AG494" s="102">
        <f>AD494*'Currency &amp; Conversion'!$L$6</f>
        <v>954.61565973422239</v>
      </c>
      <c r="AH494" s="102"/>
      <c r="AI494" s="44">
        <v>1.4999999999999999E-2</v>
      </c>
      <c r="AJ494" s="15">
        <f>_xlfn.XLOOKUP($AF494,Warranty!B:B,Warranty!E:E)</f>
        <v>1.4999999999999999E-2</v>
      </c>
      <c r="AK494" s="8">
        <f>IF($I494="AUD",VLOOKUP(RIGHT('Wk - Margins'!$G494,3),'AU Freight'!C:G,5,0),0)</f>
        <v>100</v>
      </c>
      <c r="AL494" s="15">
        <f t="shared" si="153"/>
        <v>0</v>
      </c>
      <c r="AM494" s="61">
        <f t="shared" si="151"/>
        <v>1083.254129526249</v>
      </c>
      <c r="AN494" s="63">
        <f t="shared" si="154"/>
        <v>0.15563392142436872</v>
      </c>
      <c r="AQ494" s="147"/>
    </row>
    <row r="495" spans="1:43">
      <c r="A495" s="10" t="str">
        <f>'Input - Bookings'!A495</f>
        <v>10-27</v>
      </c>
      <c r="B495" s="11" t="str">
        <f>'Input - Bookings'!C495</f>
        <v>P</v>
      </c>
      <c r="C495" s="11" t="str">
        <f>'Input - Bookings'!H495</f>
        <v>AU</v>
      </c>
      <c r="D495" s="24" t="str">
        <f>'Input - Bookings'!E495</f>
        <v>065</v>
      </c>
      <c r="E495" s="24" t="str">
        <f>'Input - Bookings'!G495</f>
        <v>ADAPT-A-LIFT GROUP (VIC)</v>
      </c>
      <c r="F495" s="146" t="str">
        <f>'Input - Bookings'!I495</f>
        <v>H68586</v>
      </c>
      <c r="G495" s="24" t="str">
        <f>'Input - Bookings'!L495</f>
        <v>A6W9</v>
      </c>
      <c r="H495" s="24" t="str">
        <f>'Input - Bookings'!M495</f>
        <v>PC1.5</v>
      </c>
      <c r="I495" s="24" t="str">
        <f>'Input - Bookings'!B495</f>
        <v>AUD</v>
      </c>
      <c r="J495" s="13" t="str">
        <f>IF(I495="USD",INDEX('AP Plants'!A:A,MATCH(G495,'AP Plants'!D:D,0)),INDEX('Australia Plants'!A:A,MATCH(G495,'Australia Plants'!D:D,0)))</f>
        <v>Staxx</v>
      </c>
      <c r="K495" s="73">
        <v>1</v>
      </c>
      <c r="L495" s="97">
        <v>2140</v>
      </c>
      <c r="M495" s="97">
        <v>1282.92</v>
      </c>
      <c r="N495" s="99">
        <v>0.15563392142436872</v>
      </c>
      <c r="O495" s="25">
        <f t="shared" si="157"/>
        <v>0.40050467289719627</v>
      </c>
      <c r="P495" s="14">
        <f>IFERROR(IF(OR(B495&amp;C495="PAU",B495&amp;C495="AIN"),VLOOKUP(B495&amp;C495&amp;G495,#REF!,8,0),VLOOKUP(B495&amp;G495,#REF!,8,0)),0)</f>
        <v>0</v>
      </c>
      <c r="Q495" s="15">
        <f t="shared" si="158"/>
        <v>0.15563392142436872</v>
      </c>
      <c r="R495" s="16" t="str">
        <f t="shared" si="159"/>
        <v>AOP</v>
      </c>
      <c r="S495" s="17">
        <f t="shared" si="155"/>
        <v>199.66587047375111</v>
      </c>
      <c r="T495" s="18" t="e">
        <f t="shared" si="160"/>
        <v>#DIV/0!</v>
      </c>
      <c r="U495" s="23" t="e">
        <f t="shared" si="152"/>
        <v>#DIV/0!</v>
      </c>
      <c r="Y495" s="8" t="str">
        <f t="shared" si="161"/>
        <v>PAUH68586PC1.5</v>
      </c>
      <c r="Z495" s="8" t="str">
        <f>IF(Y495='Input - Bookings'!Q728,"OK","Check")</f>
        <v>Check</v>
      </c>
      <c r="AA495" s="118"/>
      <c r="AB495" s="103"/>
      <c r="AC495" s="103"/>
      <c r="AD495" s="100">
        <f t="shared" si="162"/>
        <v>641.02582576834698</v>
      </c>
      <c r="AE495" s="100"/>
      <c r="AF495" s="8" t="str">
        <f t="array" ref="AF495">_xlfn.XLOOKUP($G495,'AP Plants'!D:D,'AP Plants'!B:B)</f>
        <v>Class 3</v>
      </c>
      <c r="AG495" s="102">
        <f>AD495*'Currency &amp; Conversion'!$L$6</f>
        <v>954.61565973422239</v>
      </c>
      <c r="AH495" s="102"/>
      <c r="AI495" s="44">
        <v>1.4999999999999999E-2</v>
      </c>
      <c r="AJ495" s="15">
        <f>_xlfn.XLOOKUP($AF495,Warranty!B:B,Warranty!E:E)</f>
        <v>1.4999999999999999E-2</v>
      </c>
      <c r="AK495" s="8">
        <f>IF($I495="AUD",VLOOKUP(RIGHT('Wk - Margins'!$G495,3),'AU Freight'!C:G,5,0),0)</f>
        <v>100</v>
      </c>
      <c r="AL495" s="15">
        <f t="shared" si="153"/>
        <v>0</v>
      </c>
      <c r="AM495" s="61">
        <f t="shared" si="151"/>
        <v>1083.254129526249</v>
      </c>
      <c r="AN495" s="63">
        <f t="shared" si="154"/>
        <v>0.15563392142436872</v>
      </c>
      <c r="AQ495" s="147"/>
    </row>
    <row r="496" spans="1:43">
      <c r="A496" s="10" t="str">
        <f>'Input - Bookings'!A496</f>
        <v>10-27</v>
      </c>
      <c r="B496" s="11" t="str">
        <f>'Input - Bookings'!C496</f>
        <v>P</v>
      </c>
      <c r="C496" s="11" t="str">
        <f>'Input - Bookings'!H496</f>
        <v>AU</v>
      </c>
      <c r="D496" s="24" t="str">
        <f>'Input - Bookings'!E496</f>
        <v>065</v>
      </c>
      <c r="E496" s="24" t="str">
        <f>'Input - Bookings'!G496</f>
        <v>ADAPT-A-LIFT GROUP (VIC)</v>
      </c>
      <c r="F496" s="146" t="str">
        <f>'Input - Bookings'!I496</f>
        <v>H68588</v>
      </c>
      <c r="G496" s="24" t="str">
        <f>'Input - Bookings'!L496</f>
        <v>A6W9</v>
      </c>
      <c r="H496" s="24" t="str">
        <f>'Input - Bookings'!M496</f>
        <v>PC1.5</v>
      </c>
      <c r="I496" s="24" t="str">
        <f>'Input - Bookings'!B496</f>
        <v>AUD</v>
      </c>
      <c r="J496" s="13" t="str">
        <f>IF(I496="USD",INDEX('AP Plants'!A:A,MATCH(G496,'AP Plants'!D:D,0)),INDEX('Australia Plants'!A:A,MATCH(G496,'Australia Plants'!D:D,0)))</f>
        <v>Staxx</v>
      </c>
      <c r="K496" s="73">
        <v>1</v>
      </c>
      <c r="L496" s="97">
        <v>2140</v>
      </c>
      <c r="M496" s="97">
        <v>1282.92</v>
      </c>
      <c r="N496" s="99">
        <v>0.15563392142436872</v>
      </c>
      <c r="O496" s="25">
        <f t="shared" si="157"/>
        <v>0.40050467289719627</v>
      </c>
      <c r="P496" s="14">
        <f>IFERROR(IF(OR(B496&amp;C496="PAU",B496&amp;C496="AIN"),VLOOKUP(B496&amp;C496&amp;G496,#REF!,8,0),VLOOKUP(B496&amp;G496,#REF!,8,0)),0)</f>
        <v>0</v>
      </c>
      <c r="Q496" s="15">
        <f t="shared" si="158"/>
        <v>0.15563392142436872</v>
      </c>
      <c r="R496" s="16" t="str">
        <f t="shared" si="159"/>
        <v>AOP</v>
      </c>
      <c r="S496" s="17">
        <f t="shared" si="155"/>
        <v>199.66587047375111</v>
      </c>
      <c r="T496" s="18" t="e">
        <f t="shared" si="160"/>
        <v>#DIV/0!</v>
      </c>
      <c r="U496" s="23" t="e">
        <f t="shared" si="152"/>
        <v>#DIV/0!</v>
      </c>
      <c r="Y496" s="8" t="str">
        <f t="shared" si="161"/>
        <v>PAUH68588PC1.5</v>
      </c>
      <c r="Z496" s="8" t="str">
        <f>IF(Y496='Input - Bookings'!Q729,"OK","Check")</f>
        <v>Check</v>
      </c>
      <c r="AA496" s="118"/>
      <c r="AB496" s="103"/>
      <c r="AC496" s="103"/>
      <c r="AD496" s="100">
        <f t="shared" si="162"/>
        <v>641.02582576834698</v>
      </c>
      <c r="AE496" s="100"/>
      <c r="AF496" s="8" t="str">
        <f t="array" ref="AF496">_xlfn.XLOOKUP($G496,'AP Plants'!D:D,'AP Plants'!B:B)</f>
        <v>Class 3</v>
      </c>
      <c r="AG496" s="102">
        <f>AD496*'Currency &amp; Conversion'!$L$6</f>
        <v>954.61565973422239</v>
      </c>
      <c r="AH496" s="102"/>
      <c r="AI496" s="44">
        <v>1.4999999999999999E-2</v>
      </c>
      <c r="AJ496" s="15">
        <f>_xlfn.XLOOKUP($AF496,Warranty!B:B,Warranty!E:E)</f>
        <v>1.4999999999999999E-2</v>
      </c>
      <c r="AK496" s="8">
        <f>IF($I496="AUD",VLOOKUP(RIGHT('Wk - Margins'!$G496,3),'AU Freight'!C:G,5,0),0)</f>
        <v>100</v>
      </c>
      <c r="AL496" s="15">
        <f t="shared" si="153"/>
        <v>0</v>
      </c>
      <c r="AM496" s="61">
        <f t="shared" si="151"/>
        <v>1083.254129526249</v>
      </c>
      <c r="AN496" s="63">
        <f t="shared" si="154"/>
        <v>0.15563392142436872</v>
      </c>
      <c r="AQ496" s="147"/>
    </row>
    <row r="497" spans="1:43">
      <c r="A497" s="10" t="str">
        <f>'Input - Bookings'!A497</f>
        <v>10-27</v>
      </c>
      <c r="B497" s="11" t="str">
        <f>'Input - Bookings'!C497</f>
        <v>P</v>
      </c>
      <c r="C497" s="11" t="str">
        <f>'Input - Bookings'!H497</f>
        <v>AU</v>
      </c>
      <c r="D497" s="24" t="str">
        <f>'Input - Bookings'!E497</f>
        <v>065</v>
      </c>
      <c r="E497" s="24" t="str">
        <f>'Input - Bookings'!G497</f>
        <v>ADAPT-A-LIFT GROUP (VIC)</v>
      </c>
      <c r="F497" s="146" t="str">
        <f>'Input - Bookings'!I497</f>
        <v>H68590</v>
      </c>
      <c r="G497" s="24" t="str">
        <f>'Input - Bookings'!L497</f>
        <v>A6W9</v>
      </c>
      <c r="H497" s="24" t="str">
        <f>'Input - Bookings'!M497</f>
        <v>PC1.5</v>
      </c>
      <c r="I497" s="24" t="str">
        <f>'Input - Bookings'!B497</f>
        <v>AUD</v>
      </c>
      <c r="J497" s="13" t="str">
        <f>IF(I497="USD",INDEX('AP Plants'!A:A,MATCH(G497,'AP Plants'!D:D,0)),INDEX('Australia Plants'!A:A,MATCH(G497,'Australia Plants'!D:D,0)))</f>
        <v>Staxx</v>
      </c>
      <c r="K497" s="73">
        <v>1</v>
      </c>
      <c r="L497" s="97">
        <v>2140</v>
      </c>
      <c r="M497" s="97">
        <v>1282.92</v>
      </c>
      <c r="N497" s="99">
        <v>0.15563392142436872</v>
      </c>
      <c r="O497" s="25">
        <f t="shared" si="157"/>
        <v>0.40050467289719627</v>
      </c>
      <c r="P497" s="14">
        <f>IFERROR(IF(OR(B497&amp;C497="PAU",B497&amp;C497="AIN"),VLOOKUP(B497&amp;C497&amp;G497,#REF!,8,0),VLOOKUP(B497&amp;G497,#REF!,8,0)),0)</f>
        <v>0</v>
      </c>
      <c r="Q497" s="15">
        <f t="shared" si="158"/>
        <v>0.15563392142436872</v>
      </c>
      <c r="R497" s="16" t="str">
        <f t="shared" si="159"/>
        <v>AOP</v>
      </c>
      <c r="S497" s="17">
        <f t="shared" si="155"/>
        <v>199.66587047375111</v>
      </c>
      <c r="T497" s="18" t="e">
        <f t="shared" si="160"/>
        <v>#DIV/0!</v>
      </c>
      <c r="U497" s="23" t="e">
        <f t="shared" si="152"/>
        <v>#DIV/0!</v>
      </c>
      <c r="Y497" s="8" t="str">
        <f t="shared" si="161"/>
        <v>PAUH68590PC1.5</v>
      </c>
      <c r="Z497" s="8" t="str">
        <f>IF(Y497='Input - Bookings'!Q730,"OK","Check")</f>
        <v>Check</v>
      </c>
      <c r="AA497" s="118"/>
      <c r="AB497" s="103"/>
      <c r="AC497" s="103"/>
      <c r="AD497" s="100">
        <f t="shared" si="162"/>
        <v>641.02582576834698</v>
      </c>
      <c r="AE497" s="98"/>
      <c r="AF497" s="8" t="str">
        <f t="array" ref="AF497">_xlfn.XLOOKUP($G497,'AP Plants'!D:D,'AP Plants'!B:B)</f>
        <v>Class 3</v>
      </c>
      <c r="AG497" s="102">
        <f>AD497*'Currency &amp; Conversion'!$L$6</f>
        <v>954.61565973422239</v>
      </c>
      <c r="AH497" s="102"/>
      <c r="AI497" s="44">
        <v>1.4999999999999999E-2</v>
      </c>
      <c r="AJ497" s="15">
        <f>_xlfn.XLOOKUP($AF497,Warranty!B:B,Warranty!E:E)</f>
        <v>1.4999999999999999E-2</v>
      </c>
      <c r="AK497" s="8">
        <f>IF($I497="AUD",VLOOKUP(RIGHT('Wk - Margins'!$G497,3),'AU Freight'!C:G,5,0),0)</f>
        <v>100</v>
      </c>
      <c r="AL497" s="15">
        <f t="shared" si="153"/>
        <v>0</v>
      </c>
      <c r="AM497" s="61">
        <f t="shared" si="151"/>
        <v>1083.254129526249</v>
      </c>
      <c r="AN497" s="63">
        <f t="shared" si="154"/>
        <v>0.15563392142436872</v>
      </c>
      <c r="AQ497" s="147"/>
    </row>
    <row r="498" spans="1:43">
      <c r="A498" s="10" t="str">
        <f>'Input - Bookings'!A498</f>
        <v>10-27</v>
      </c>
      <c r="B498" s="11" t="str">
        <f>'Input - Bookings'!C498</f>
        <v>P</v>
      </c>
      <c r="C498" s="11" t="str">
        <f>'Input - Bookings'!H498</f>
        <v>AU</v>
      </c>
      <c r="D498" s="24" t="str">
        <f>'Input - Bookings'!E498</f>
        <v>065</v>
      </c>
      <c r="E498" s="24" t="str">
        <f>'Input - Bookings'!G498</f>
        <v>ADAPT-A-LIFT GROUP (VIC)</v>
      </c>
      <c r="F498" s="146" t="str">
        <f>'Input - Bookings'!I498</f>
        <v>H68592</v>
      </c>
      <c r="G498" s="24" t="str">
        <f>'Input - Bookings'!L498</f>
        <v>A6W9</v>
      </c>
      <c r="H498" s="24" t="str">
        <f>'Input - Bookings'!M498</f>
        <v>PC1.5</v>
      </c>
      <c r="I498" s="24" t="str">
        <f>'Input - Bookings'!B498</f>
        <v>AUD</v>
      </c>
      <c r="J498" s="13" t="str">
        <f>IF(I498="USD",INDEX('AP Plants'!A:A,MATCH(G498,'AP Plants'!D:D,0)),INDEX('Australia Plants'!A:A,MATCH(G498,'Australia Plants'!D:D,0)))</f>
        <v>Staxx</v>
      </c>
      <c r="K498" s="73">
        <v>1</v>
      </c>
      <c r="L498" s="97">
        <v>2140</v>
      </c>
      <c r="M498" s="97">
        <v>1282.92</v>
      </c>
      <c r="N498" s="99">
        <v>0.15563392142436872</v>
      </c>
      <c r="O498" s="25">
        <f t="shared" si="157"/>
        <v>0.40050467289719627</v>
      </c>
      <c r="P498" s="14">
        <f>IFERROR(IF(OR(B498&amp;C498="PAU",B498&amp;C498="AIN"),VLOOKUP(B498&amp;C498&amp;G498,#REF!,8,0),VLOOKUP(B498&amp;G498,#REF!,8,0)),0)</f>
        <v>0</v>
      </c>
      <c r="Q498" s="15">
        <f t="shared" si="158"/>
        <v>0.15563392142436872</v>
      </c>
      <c r="R498" s="16" t="str">
        <f t="shared" si="159"/>
        <v>AOP</v>
      </c>
      <c r="S498" s="17">
        <f t="shared" si="155"/>
        <v>199.66587047375111</v>
      </c>
      <c r="T498" s="18" t="e">
        <f t="shared" si="160"/>
        <v>#DIV/0!</v>
      </c>
      <c r="U498" s="23" t="e">
        <f t="shared" si="152"/>
        <v>#DIV/0!</v>
      </c>
      <c r="Y498" s="8" t="str">
        <f t="shared" si="161"/>
        <v>PAUH68592PC1.5</v>
      </c>
      <c r="Z498" s="8" t="str">
        <f>IF(Y498='Input - Bookings'!Q731,"OK","Check")</f>
        <v>Check</v>
      </c>
      <c r="AA498" s="118"/>
      <c r="AB498" s="103"/>
      <c r="AC498" s="103"/>
      <c r="AD498" s="100">
        <f t="shared" si="162"/>
        <v>641.02582576834698</v>
      </c>
      <c r="AE498" s="98"/>
      <c r="AF498" s="8" t="str">
        <f t="array" ref="AF498">_xlfn.XLOOKUP($G498,'AP Plants'!D:D,'AP Plants'!B:B)</f>
        <v>Class 3</v>
      </c>
      <c r="AG498" s="102">
        <f>AD498*'Currency &amp; Conversion'!$L$6</f>
        <v>954.61565973422239</v>
      </c>
      <c r="AH498" s="102"/>
      <c r="AI498" s="44">
        <v>1.4999999999999999E-2</v>
      </c>
      <c r="AJ498" s="15">
        <f>_xlfn.XLOOKUP($AF498,Warranty!B:B,Warranty!E:E)</f>
        <v>1.4999999999999999E-2</v>
      </c>
      <c r="AK498" s="8">
        <f>IF($I498="AUD",VLOOKUP(RIGHT('Wk - Margins'!$G498,3),'AU Freight'!C:G,5,0),0)</f>
        <v>100</v>
      </c>
      <c r="AL498" s="15">
        <f t="shared" si="153"/>
        <v>0</v>
      </c>
      <c r="AM498" s="61">
        <f t="shared" si="151"/>
        <v>1083.254129526249</v>
      </c>
      <c r="AN498" s="63">
        <f t="shared" si="154"/>
        <v>0.15563392142436872</v>
      </c>
      <c r="AQ498" s="147"/>
    </row>
    <row r="499" spans="1:43">
      <c r="A499" s="10" t="str">
        <f>'Input - Bookings'!A499</f>
        <v>10-27</v>
      </c>
      <c r="B499" s="11" t="str">
        <f>'Input - Bookings'!C499</f>
        <v>P</v>
      </c>
      <c r="C499" s="11" t="str">
        <f>'Input - Bookings'!H499</f>
        <v>AU</v>
      </c>
      <c r="D499" s="24" t="str">
        <f>'Input - Bookings'!E499</f>
        <v>065</v>
      </c>
      <c r="E499" s="24" t="str">
        <f>'Input - Bookings'!G499</f>
        <v>ADAPT-A-LIFT GROUP (VIC)</v>
      </c>
      <c r="F499" s="146" t="str">
        <f>'Input - Bookings'!I499</f>
        <v>H68594</v>
      </c>
      <c r="G499" s="24" t="str">
        <f>'Input - Bookings'!L499</f>
        <v>A6W9</v>
      </c>
      <c r="H499" s="24" t="str">
        <f>'Input - Bookings'!M499</f>
        <v>PC1.5</v>
      </c>
      <c r="I499" s="24" t="str">
        <f>'Input - Bookings'!B499</f>
        <v>AUD</v>
      </c>
      <c r="J499" s="13" t="str">
        <f>IF(I499="USD",INDEX('AP Plants'!A:A,MATCH(G499,'AP Plants'!D:D,0)),INDEX('Australia Plants'!A:A,MATCH(G499,'Australia Plants'!D:D,0)))</f>
        <v>Staxx</v>
      </c>
      <c r="K499" s="73">
        <v>1</v>
      </c>
      <c r="L499" s="97">
        <v>2140</v>
      </c>
      <c r="M499" s="97">
        <v>1282.92</v>
      </c>
      <c r="N499" s="99">
        <v>0.15563392142436872</v>
      </c>
      <c r="O499" s="25">
        <f t="shared" si="157"/>
        <v>0.40050467289719627</v>
      </c>
      <c r="P499" s="14">
        <f>IFERROR(IF(OR(B499&amp;C499="PAU",B499&amp;C499="AIN"),VLOOKUP(B499&amp;C499&amp;G499,#REF!,8,0),VLOOKUP(B499&amp;G499,#REF!,8,0)),0)</f>
        <v>0</v>
      </c>
      <c r="Q499" s="15">
        <f t="shared" si="158"/>
        <v>0.15563392142436872</v>
      </c>
      <c r="R499" s="16" t="str">
        <f t="shared" si="159"/>
        <v>AOP</v>
      </c>
      <c r="S499" s="17">
        <f t="shared" si="155"/>
        <v>199.66587047375111</v>
      </c>
      <c r="T499" s="18" t="e">
        <f t="shared" si="160"/>
        <v>#DIV/0!</v>
      </c>
      <c r="U499" s="23" t="e">
        <f t="shared" si="152"/>
        <v>#DIV/0!</v>
      </c>
      <c r="Y499" s="8" t="str">
        <f t="shared" si="161"/>
        <v>PAUH68594PC1.5</v>
      </c>
      <c r="Z499" s="8" t="str">
        <f>IF(Y499='Input - Bookings'!Q732,"OK","Check")</f>
        <v>Check</v>
      </c>
      <c r="AA499" s="139"/>
      <c r="AB499" s="103"/>
      <c r="AC499" s="103"/>
      <c r="AD499" s="100">
        <f t="shared" si="162"/>
        <v>641.02582576834698</v>
      </c>
      <c r="AE499" s="98"/>
      <c r="AF499" s="8" t="str">
        <f t="array" ref="AF499">_xlfn.XLOOKUP($G499,'AP Plants'!D:D,'AP Plants'!B:B)</f>
        <v>Class 3</v>
      </c>
      <c r="AG499" s="102">
        <f>AD499*'Currency &amp; Conversion'!$L$6</f>
        <v>954.61565973422239</v>
      </c>
      <c r="AH499" s="102"/>
      <c r="AI499" s="44">
        <v>1.4999999999999999E-2</v>
      </c>
      <c r="AJ499" s="15">
        <f>_xlfn.XLOOKUP($AF499,Warranty!B:B,Warranty!E:E)</f>
        <v>1.4999999999999999E-2</v>
      </c>
      <c r="AK499" s="8">
        <f>IF($I499="AUD",VLOOKUP(RIGHT('Wk - Margins'!$G499,3),'AU Freight'!C:G,5,0),0)</f>
        <v>100</v>
      </c>
      <c r="AL499" s="15">
        <f t="shared" si="153"/>
        <v>0</v>
      </c>
      <c r="AM499" s="61">
        <f t="shared" ref="AM499:AM562" si="163">SUM(AG499:AH499)*(1+AI499+AJ499+AL499)+AK499</f>
        <v>1083.254129526249</v>
      </c>
      <c r="AN499" s="63">
        <f t="shared" si="154"/>
        <v>0.15563392142436872</v>
      </c>
      <c r="AQ499" s="147"/>
    </row>
    <row r="500" spans="1:43">
      <c r="A500" s="10" t="str">
        <f>'Input - Bookings'!A500</f>
        <v>10-27</v>
      </c>
      <c r="B500" s="11" t="str">
        <f>'Input - Bookings'!C500</f>
        <v>P</v>
      </c>
      <c r="C500" s="11" t="str">
        <f>'Input - Bookings'!H500</f>
        <v>AU</v>
      </c>
      <c r="D500" s="24" t="str">
        <f>'Input - Bookings'!E500</f>
        <v>065</v>
      </c>
      <c r="E500" s="24" t="str">
        <f>'Input - Bookings'!G500</f>
        <v>ADAPT-A-LIFT GROUP (VIC)</v>
      </c>
      <c r="F500" s="146" t="str">
        <f>'Input - Bookings'!I500</f>
        <v>H68598</v>
      </c>
      <c r="G500" s="24" t="str">
        <f>'Input - Bookings'!L500</f>
        <v>A6W9</v>
      </c>
      <c r="H500" s="24" t="str">
        <f>'Input - Bookings'!M500</f>
        <v>PC1.5</v>
      </c>
      <c r="I500" s="24" t="str">
        <f>'Input - Bookings'!B500</f>
        <v>AUD</v>
      </c>
      <c r="J500" s="13" t="str">
        <f>IF(I500="USD",INDEX('AP Plants'!A:A,MATCH(G500,'AP Plants'!D:D,0)),INDEX('Australia Plants'!A:A,MATCH(G500,'Australia Plants'!D:D,0)))</f>
        <v>Staxx</v>
      </c>
      <c r="K500" s="73">
        <v>1</v>
      </c>
      <c r="L500" s="97">
        <v>2140</v>
      </c>
      <c r="M500" s="97">
        <v>1282.92</v>
      </c>
      <c r="N500" s="99">
        <v>0.15563392142436872</v>
      </c>
      <c r="O500" s="25">
        <f t="shared" si="157"/>
        <v>0.40050467289719627</v>
      </c>
      <c r="P500" s="14">
        <f>IFERROR(IF(OR(B500&amp;C500="PAU",B500&amp;C500="AIN"),VLOOKUP(B500&amp;C500&amp;G500,#REF!,8,0),VLOOKUP(B500&amp;G500,#REF!,8,0)),0)</f>
        <v>0</v>
      </c>
      <c r="Q500" s="15">
        <f t="shared" si="158"/>
        <v>0.15563392142436872</v>
      </c>
      <c r="R500" s="16" t="str">
        <f t="shared" si="159"/>
        <v>AOP</v>
      </c>
      <c r="S500" s="17">
        <f t="shared" si="155"/>
        <v>199.66587047375111</v>
      </c>
      <c r="T500" s="18" t="e">
        <f t="shared" si="160"/>
        <v>#DIV/0!</v>
      </c>
      <c r="U500" s="23" t="e">
        <f t="shared" si="152"/>
        <v>#DIV/0!</v>
      </c>
      <c r="Y500" s="8" t="str">
        <f t="shared" si="161"/>
        <v>PAUH68598PC1.5</v>
      </c>
      <c r="Z500" s="8" t="str">
        <f>IF(Y500='Input - Bookings'!Q733,"OK","Check")</f>
        <v>Check</v>
      </c>
      <c r="AA500" s="139"/>
      <c r="AB500" s="103"/>
      <c r="AC500" s="103"/>
      <c r="AD500" s="100">
        <f t="shared" si="162"/>
        <v>641.02582576834698</v>
      </c>
      <c r="AE500" s="98"/>
      <c r="AF500" s="8" t="str">
        <f t="array" ref="AF500">_xlfn.XLOOKUP($G500,'AP Plants'!D:D,'AP Plants'!B:B)</f>
        <v>Class 3</v>
      </c>
      <c r="AG500" s="102">
        <f>AD500*'Currency &amp; Conversion'!$L$6</f>
        <v>954.61565973422239</v>
      </c>
      <c r="AH500" s="102"/>
      <c r="AI500" s="44">
        <v>1.4999999999999999E-2</v>
      </c>
      <c r="AJ500" s="15">
        <f>_xlfn.XLOOKUP($AF500,Warranty!B:B,Warranty!E:E)</f>
        <v>1.4999999999999999E-2</v>
      </c>
      <c r="AK500" s="8">
        <f>IF($I500="AUD",VLOOKUP(RIGHT('Wk - Margins'!$G500,3),'AU Freight'!C:G,5,0),0)</f>
        <v>100</v>
      </c>
      <c r="AL500" s="15">
        <f t="shared" si="153"/>
        <v>0</v>
      </c>
      <c r="AM500" s="61">
        <f t="shared" si="163"/>
        <v>1083.254129526249</v>
      </c>
      <c r="AN500" s="63">
        <f t="shared" si="154"/>
        <v>0.15563392142436872</v>
      </c>
      <c r="AQ500" s="147"/>
    </row>
    <row r="501" spans="1:43">
      <c r="A501" s="10" t="str">
        <f>'Input - Bookings'!A501</f>
        <v>10-27</v>
      </c>
      <c r="B501" s="11" t="str">
        <f>'Input - Bookings'!C501</f>
        <v>P</v>
      </c>
      <c r="C501" s="11" t="str">
        <f>'Input - Bookings'!H501</f>
        <v>AU</v>
      </c>
      <c r="D501" s="24" t="str">
        <f>'Input - Bookings'!E501</f>
        <v>065</v>
      </c>
      <c r="E501" s="24" t="str">
        <f>'Input - Bookings'!G501</f>
        <v>ADAPT-A-LIFT GROUP (WA)</v>
      </c>
      <c r="F501" s="146" t="str">
        <f>'Input - Bookings'!I501</f>
        <v>H68559</v>
      </c>
      <c r="G501" s="24" t="str">
        <f>'Input - Bookings'!L501</f>
        <v>A6W9</v>
      </c>
      <c r="H501" s="24" t="str">
        <f>'Input - Bookings'!M501</f>
        <v>PC1.5</v>
      </c>
      <c r="I501" s="24" t="str">
        <f>'Input - Bookings'!B501</f>
        <v>AUD</v>
      </c>
      <c r="J501" s="13" t="str">
        <f>IF(I501="USD",INDEX('AP Plants'!A:A,MATCH(G501,'AP Plants'!D:D,0)),INDEX('Australia Plants'!A:A,MATCH(G501,'Australia Plants'!D:D,0)))</f>
        <v>Staxx</v>
      </c>
      <c r="K501" s="73">
        <v>1</v>
      </c>
      <c r="L501" s="97">
        <v>2140</v>
      </c>
      <c r="M501" s="97">
        <v>1282.92</v>
      </c>
      <c r="N501" s="99">
        <v>0.15563392142436872</v>
      </c>
      <c r="O501" s="25">
        <f>1-M501/L501</f>
        <v>0.40050467289719627</v>
      </c>
      <c r="P501" s="14">
        <f>IFERROR(IF(OR(B501&amp;C501="PAU",B501&amp;C501="AIN"),VLOOKUP(B501&amp;C501&amp;G501,#REF!,8,0),VLOOKUP(B501&amp;G501,#REF!,8,0)),0)</f>
        <v>0</v>
      </c>
      <c r="Q501" s="15">
        <f>N501-P501</f>
        <v>0.15563392142436872</v>
      </c>
      <c r="R501" s="16" t="str">
        <f t="shared" si="159"/>
        <v>AOP</v>
      </c>
      <c r="S501" s="17">
        <f t="shared" si="155"/>
        <v>199.66587047375111</v>
      </c>
      <c r="T501" s="18" t="e">
        <f t="shared" si="160"/>
        <v>#DIV/0!</v>
      </c>
      <c r="U501" s="23" t="e">
        <f t="shared" si="152"/>
        <v>#DIV/0!</v>
      </c>
      <c r="Y501" s="8" t="str">
        <f t="shared" si="161"/>
        <v>PAUH68559PC1.5</v>
      </c>
      <c r="Z501" s="8" t="str">
        <f>IF(Y501='Input - Bookings'!Q734,"OK","Check")</f>
        <v>Check</v>
      </c>
      <c r="AA501" s="139"/>
      <c r="AB501" s="103"/>
      <c r="AC501" s="103"/>
      <c r="AD501" s="100">
        <f t="shared" si="162"/>
        <v>641.02582576834698</v>
      </c>
      <c r="AE501" s="98"/>
      <c r="AF501" s="8" t="str">
        <f t="array" ref="AF501">_xlfn.XLOOKUP($G501,'AP Plants'!D:D,'AP Plants'!B:B)</f>
        <v>Class 3</v>
      </c>
      <c r="AG501" s="102">
        <f>AD501*'Currency &amp; Conversion'!$L$6</f>
        <v>954.61565973422239</v>
      </c>
      <c r="AH501" s="102"/>
      <c r="AI501" s="44">
        <v>1.4999999999999999E-2</v>
      </c>
      <c r="AJ501" s="15">
        <f>_xlfn.XLOOKUP($AF501,Warranty!B:B,Warranty!E:E)</f>
        <v>1.4999999999999999E-2</v>
      </c>
      <c r="AK501" s="8">
        <f>IF($I501="AUD",VLOOKUP(RIGHT('Wk - Margins'!$G501,3),'AU Freight'!C:G,5,0),0)</f>
        <v>100</v>
      </c>
      <c r="AL501" s="15">
        <f t="shared" si="153"/>
        <v>0</v>
      </c>
      <c r="AM501" s="61">
        <f t="shared" si="163"/>
        <v>1083.254129526249</v>
      </c>
      <c r="AN501" s="63">
        <f>1-AM501/M501</f>
        <v>0.15563392142436872</v>
      </c>
      <c r="AQ501" s="147"/>
    </row>
    <row r="502" spans="1:43">
      <c r="A502" s="10" t="str">
        <f>'Input - Bookings'!A502</f>
        <v>10-27</v>
      </c>
      <c r="B502" s="11" t="str">
        <f>'Input - Bookings'!C502</f>
        <v>P</v>
      </c>
      <c r="C502" s="11" t="str">
        <f>'Input - Bookings'!H502</f>
        <v>AU</v>
      </c>
      <c r="D502" s="24" t="str">
        <f>'Input - Bookings'!E502</f>
        <v>065</v>
      </c>
      <c r="E502" s="24" t="str">
        <f>'Input - Bookings'!G502</f>
        <v>ADAPT-A-LIFT GROUP (WA)</v>
      </c>
      <c r="F502" s="146" t="str">
        <f>'Input - Bookings'!I502</f>
        <v>H68561</v>
      </c>
      <c r="G502" s="24" t="str">
        <f>'Input - Bookings'!L502</f>
        <v>A6W9</v>
      </c>
      <c r="H502" s="24" t="str">
        <f>'Input - Bookings'!M502</f>
        <v>PC1.5</v>
      </c>
      <c r="I502" s="24" t="str">
        <f>'Input - Bookings'!B502</f>
        <v>AUD</v>
      </c>
      <c r="J502" s="13" t="str">
        <f>IF(I502="USD",INDEX('AP Plants'!A:A,MATCH(G502,'AP Plants'!D:D,0)),INDEX('Australia Plants'!A:A,MATCH(G502,'Australia Plants'!D:D,0)))</f>
        <v>Staxx</v>
      </c>
      <c r="K502" s="73">
        <v>1</v>
      </c>
      <c r="L502" s="97">
        <v>2140</v>
      </c>
      <c r="M502" s="97">
        <v>1282.92</v>
      </c>
      <c r="N502" s="99">
        <v>0.15563392142436872</v>
      </c>
      <c r="O502" s="25">
        <f t="shared" si="157"/>
        <v>0.40050467289719627</v>
      </c>
      <c r="P502" s="14">
        <f>IFERROR(IF(OR(B502&amp;C502="PAU",B502&amp;C502="AIN"),VLOOKUP(B502&amp;C502&amp;G502,#REF!,8,0),VLOOKUP(B502&amp;G502,#REF!,8,0)),0)</f>
        <v>0</v>
      </c>
      <c r="Q502" s="15">
        <f t="shared" si="158"/>
        <v>0.15563392142436872</v>
      </c>
      <c r="R502" s="16" t="str">
        <f t="shared" si="159"/>
        <v>AOP</v>
      </c>
      <c r="S502" s="17">
        <f t="shared" si="155"/>
        <v>199.66587047375111</v>
      </c>
      <c r="T502" s="18" t="e">
        <f t="shared" si="160"/>
        <v>#DIV/0!</v>
      </c>
      <c r="U502" s="23" t="e">
        <f t="shared" si="152"/>
        <v>#DIV/0!</v>
      </c>
      <c r="Y502" s="8" t="str">
        <f t="shared" si="161"/>
        <v>PAUH68561PC1.5</v>
      </c>
      <c r="Z502" s="8" t="str">
        <f>IF(Y502='Input - Bookings'!Q735,"OK","Check")</f>
        <v>Check</v>
      </c>
      <c r="AA502" s="139"/>
      <c r="AB502" s="103"/>
      <c r="AC502" s="103"/>
      <c r="AD502" s="100">
        <f t="shared" si="162"/>
        <v>641.02582576834698</v>
      </c>
      <c r="AE502" s="98"/>
      <c r="AF502" s="8" t="str">
        <f t="array" ref="AF502">_xlfn.XLOOKUP($G502,'AP Plants'!D:D,'AP Plants'!B:B)</f>
        <v>Class 3</v>
      </c>
      <c r="AG502" s="102">
        <f>AD502*'Currency &amp; Conversion'!$L$6</f>
        <v>954.61565973422239</v>
      </c>
      <c r="AH502" s="102"/>
      <c r="AI502" s="44">
        <v>1.4999999999999999E-2</v>
      </c>
      <c r="AJ502" s="15">
        <f>_xlfn.XLOOKUP($AF502,Warranty!B:B,Warranty!E:E)</f>
        <v>1.4999999999999999E-2</v>
      </c>
      <c r="AK502" s="8">
        <f>IF($I502="AUD",VLOOKUP(RIGHT('Wk - Margins'!$G502,3),'AU Freight'!C:G,5,0),0)</f>
        <v>100</v>
      </c>
      <c r="AL502" s="15">
        <f t="shared" si="153"/>
        <v>0</v>
      </c>
      <c r="AM502" s="61">
        <f t="shared" si="163"/>
        <v>1083.254129526249</v>
      </c>
      <c r="AN502" s="63">
        <f t="shared" si="154"/>
        <v>0.15563392142436872</v>
      </c>
      <c r="AQ502" s="147"/>
    </row>
    <row r="503" spans="1:43">
      <c r="A503" s="10" t="str">
        <f>'Input - Bookings'!A503</f>
        <v>10-27</v>
      </c>
      <c r="B503" s="11" t="str">
        <f>'Input - Bookings'!C503</f>
        <v>P</v>
      </c>
      <c r="C503" s="11" t="str">
        <f>'Input - Bookings'!H503</f>
        <v>AU</v>
      </c>
      <c r="D503" s="24" t="str">
        <f>'Input - Bookings'!E503</f>
        <v>065</v>
      </c>
      <c r="E503" s="24" t="str">
        <f>'Input - Bookings'!G503</f>
        <v>ADAPT-A-LIFT GROUP (WA)</v>
      </c>
      <c r="F503" s="146" t="str">
        <f>'Input - Bookings'!I503</f>
        <v>H68563</v>
      </c>
      <c r="G503" s="24" t="str">
        <f>'Input - Bookings'!L503</f>
        <v>A6W9</v>
      </c>
      <c r="H503" s="24" t="str">
        <f>'Input - Bookings'!M503</f>
        <v>PC1.5</v>
      </c>
      <c r="I503" s="24" t="str">
        <f>'Input - Bookings'!B503</f>
        <v>AUD</v>
      </c>
      <c r="J503" s="13" t="str">
        <f>IF(I503="USD",INDEX('AP Plants'!A:A,MATCH(G503,'AP Plants'!D:D,0)),INDEX('Australia Plants'!A:A,MATCH(G503,'Australia Plants'!D:D,0)))</f>
        <v>Staxx</v>
      </c>
      <c r="K503" s="73">
        <v>1</v>
      </c>
      <c r="L503" s="97">
        <v>2140</v>
      </c>
      <c r="M503" s="97">
        <v>1282.92</v>
      </c>
      <c r="N503" s="99">
        <v>0.15563392142436872</v>
      </c>
      <c r="O503" s="25">
        <f t="shared" si="157"/>
        <v>0.40050467289719627</v>
      </c>
      <c r="P503" s="14">
        <f>IFERROR(IF(OR(B503&amp;C503="PAU",B503&amp;C503="AIN"),VLOOKUP(B503&amp;C503&amp;G503,#REF!,8,0),VLOOKUP(B503&amp;G503,#REF!,8,0)),0)</f>
        <v>0</v>
      </c>
      <c r="Q503" s="15">
        <f t="shared" si="158"/>
        <v>0.15563392142436872</v>
      </c>
      <c r="R503" s="16" t="str">
        <f t="shared" si="159"/>
        <v>AOP</v>
      </c>
      <c r="S503" s="17">
        <f t="shared" si="155"/>
        <v>199.66587047375111</v>
      </c>
      <c r="T503" s="18" t="e">
        <f t="shared" si="160"/>
        <v>#DIV/0!</v>
      </c>
      <c r="U503" s="23" t="e">
        <f t="shared" si="152"/>
        <v>#DIV/0!</v>
      </c>
      <c r="Y503" s="8" t="str">
        <f t="shared" si="161"/>
        <v>PAUH68563PC1.5</v>
      </c>
      <c r="Z503" s="8" t="str">
        <f>IF(Y503='Input - Bookings'!Q736,"OK","Check")</f>
        <v>Check</v>
      </c>
      <c r="AA503" s="139"/>
      <c r="AB503" s="103"/>
      <c r="AC503" s="103"/>
      <c r="AD503" s="100">
        <f t="shared" si="162"/>
        <v>641.02582576834698</v>
      </c>
      <c r="AE503" s="98"/>
      <c r="AF503" s="8" t="str">
        <f t="array" ref="AF503">_xlfn.XLOOKUP($G503,'AP Plants'!D:D,'AP Plants'!B:B)</f>
        <v>Class 3</v>
      </c>
      <c r="AG503" s="102">
        <f>AD503*'Currency &amp; Conversion'!$L$6</f>
        <v>954.61565973422239</v>
      </c>
      <c r="AH503" s="102"/>
      <c r="AI503" s="44">
        <v>1.4999999999999999E-2</v>
      </c>
      <c r="AJ503" s="15">
        <f>_xlfn.XLOOKUP($AF503,Warranty!B:B,Warranty!E:E)</f>
        <v>1.4999999999999999E-2</v>
      </c>
      <c r="AK503" s="8">
        <f>IF($I503="AUD",VLOOKUP(RIGHT('Wk - Margins'!$G503,3),'AU Freight'!C:G,5,0),0)</f>
        <v>100</v>
      </c>
      <c r="AL503" s="15">
        <f t="shared" si="153"/>
        <v>0</v>
      </c>
      <c r="AM503" s="61">
        <f t="shared" si="163"/>
        <v>1083.254129526249</v>
      </c>
      <c r="AN503" s="63">
        <f t="shared" si="154"/>
        <v>0.15563392142436872</v>
      </c>
      <c r="AQ503" s="147"/>
    </row>
    <row r="504" spans="1:43">
      <c r="A504" s="10" t="str">
        <f>'Input - Bookings'!A504</f>
        <v>10-27</v>
      </c>
      <c r="B504" s="11" t="str">
        <f>'Input - Bookings'!C504</f>
        <v>P</v>
      </c>
      <c r="C504" s="11" t="str">
        <f>'Input - Bookings'!H504</f>
        <v>AU</v>
      </c>
      <c r="D504" s="24" t="str">
        <f>'Input - Bookings'!E504</f>
        <v>065</v>
      </c>
      <c r="E504" s="24" t="str">
        <f>'Input - Bookings'!G504</f>
        <v>ADAPT-A-LIFT GROUP (WA)</v>
      </c>
      <c r="F504" s="146" t="str">
        <f>'Input - Bookings'!I504</f>
        <v>H68565</v>
      </c>
      <c r="G504" s="24" t="str">
        <f>'Input - Bookings'!L504</f>
        <v>A6W9</v>
      </c>
      <c r="H504" s="24" t="str">
        <f>'Input - Bookings'!M504</f>
        <v>PC1.5</v>
      </c>
      <c r="I504" s="24" t="str">
        <f>'Input - Bookings'!B504</f>
        <v>AUD</v>
      </c>
      <c r="J504" s="13" t="str">
        <f>IF(I504="USD",INDEX('AP Plants'!A:A,MATCH(G504,'AP Plants'!D:D,0)),INDEX('Australia Plants'!A:A,MATCH(G504,'Australia Plants'!D:D,0)))</f>
        <v>Staxx</v>
      </c>
      <c r="K504" s="73">
        <v>1</v>
      </c>
      <c r="L504" s="97">
        <v>2140</v>
      </c>
      <c r="M504" s="97">
        <v>1282.92</v>
      </c>
      <c r="N504" s="99">
        <v>0.15563392142436872</v>
      </c>
      <c r="O504" s="25">
        <f t="shared" si="157"/>
        <v>0.40050467289719627</v>
      </c>
      <c r="P504" s="14">
        <f>IFERROR(IF(OR(B504&amp;C504="PAU",B504&amp;C504="AIN"),VLOOKUP(B504&amp;C504&amp;G504,#REF!,8,0),VLOOKUP(B504&amp;G504,#REF!,8,0)),0)</f>
        <v>0</v>
      </c>
      <c r="Q504" s="15">
        <f t="shared" si="158"/>
        <v>0.15563392142436872</v>
      </c>
      <c r="R504" s="16" t="str">
        <f t="shared" si="159"/>
        <v>AOP</v>
      </c>
      <c r="S504" s="17">
        <f t="shared" si="155"/>
        <v>199.66587047375111</v>
      </c>
      <c r="T504" s="18" t="e">
        <f t="shared" si="160"/>
        <v>#DIV/0!</v>
      </c>
      <c r="U504" s="23" t="e">
        <f t="shared" si="152"/>
        <v>#DIV/0!</v>
      </c>
      <c r="Y504" s="8" t="str">
        <f t="shared" si="161"/>
        <v>PAUH68565PC1.5</v>
      </c>
      <c r="Z504" s="8" t="str">
        <f>IF(Y504='Input - Bookings'!Q737,"OK","Check")</f>
        <v>Check</v>
      </c>
      <c r="AA504" s="139"/>
      <c r="AB504" s="103"/>
      <c r="AC504" s="103"/>
      <c r="AD504" s="100">
        <f t="shared" si="162"/>
        <v>641.02582576834698</v>
      </c>
      <c r="AE504" s="110"/>
      <c r="AF504" s="8" t="str">
        <f t="array" ref="AF504">_xlfn.XLOOKUP($G504,'AP Plants'!D:D,'AP Plants'!B:B)</f>
        <v>Class 3</v>
      </c>
      <c r="AG504" s="102">
        <f>AD504*'Currency &amp; Conversion'!$L$6</f>
        <v>954.61565973422239</v>
      </c>
      <c r="AH504" s="102"/>
      <c r="AI504" s="44">
        <v>1.4999999999999999E-2</v>
      </c>
      <c r="AJ504" s="15">
        <f>_xlfn.XLOOKUP($AF504,Warranty!B:B,Warranty!E:E)</f>
        <v>1.4999999999999999E-2</v>
      </c>
      <c r="AK504" s="8">
        <f>IF($I504="AUD",VLOOKUP(RIGHT('Wk - Margins'!$G504,3),'AU Freight'!C:G,5,0),0)</f>
        <v>100</v>
      </c>
      <c r="AL504" s="15">
        <f t="shared" si="153"/>
        <v>0</v>
      </c>
      <c r="AM504" s="61">
        <f t="shared" si="163"/>
        <v>1083.254129526249</v>
      </c>
      <c r="AN504" s="63">
        <f t="shared" si="154"/>
        <v>0.15563392142436872</v>
      </c>
      <c r="AQ504" s="147"/>
    </row>
    <row r="505" spans="1:43">
      <c r="A505" s="10" t="str">
        <f>'Input - Bookings'!A505</f>
        <v>10-27</v>
      </c>
      <c r="B505" s="11" t="str">
        <f>'Input - Bookings'!C505</f>
        <v>P</v>
      </c>
      <c r="C505" s="11" t="str">
        <f>'Input - Bookings'!H505</f>
        <v>AU</v>
      </c>
      <c r="D505" s="24" t="str">
        <f>'Input - Bookings'!E505</f>
        <v>065</v>
      </c>
      <c r="E505" s="24" t="str">
        <f>'Input - Bookings'!G505</f>
        <v>ADAPT-A-LIFT GROUP (WA)</v>
      </c>
      <c r="F505" s="146" t="str">
        <f>'Input - Bookings'!I505</f>
        <v>H68567</v>
      </c>
      <c r="G505" s="24" t="str">
        <f>'Input - Bookings'!L505</f>
        <v>A6W9</v>
      </c>
      <c r="H505" s="24" t="str">
        <f>'Input - Bookings'!M505</f>
        <v>PC1.5</v>
      </c>
      <c r="I505" s="24" t="str">
        <f>'Input - Bookings'!B505</f>
        <v>AUD</v>
      </c>
      <c r="J505" s="13" t="str">
        <f>IF(I505="USD",INDEX('AP Plants'!A:A,MATCH(G505,'AP Plants'!D:D,0)),INDEX('Australia Plants'!A:A,MATCH(G505,'Australia Plants'!D:D,0)))</f>
        <v>Staxx</v>
      </c>
      <c r="K505" s="73">
        <v>1</v>
      </c>
      <c r="L505" s="97">
        <v>2140</v>
      </c>
      <c r="M505" s="97">
        <v>1282.92</v>
      </c>
      <c r="N505" s="99">
        <v>0.15563392142436872</v>
      </c>
      <c r="O505" s="25">
        <f>1-M505/L505</f>
        <v>0.40050467289719627</v>
      </c>
      <c r="P505" s="14">
        <f>IFERROR(IF(OR(B505&amp;C505="PAU",B505&amp;C505="AIN"),VLOOKUP(B505&amp;C505&amp;G505,#REF!,8,0),VLOOKUP(B505&amp;G505,#REF!,8,0)),0)</f>
        <v>0</v>
      </c>
      <c r="Q505" s="15">
        <f>N505-P505</f>
        <v>0.15563392142436872</v>
      </c>
      <c r="R505" s="16" t="str">
        <f t="shared" si="159"/>
        <v>AOP</v>
      </c>
      <c r="S505" s="17">
        <f t="shared" si="155"/>
        <v>199.66587047375111</v>
      </c>
      <c r="T505" s="18" t="e">
        <f t="shared" si="160"/>
        <v>#DIV/0!</v>
      </c>
      <c r="U505" s="23" t="e">
        <f t="shared" si="152"/>
        <v>#DIV/0!</v>
      </c>
      <c r="Y505" s="8" t="str">
        <f t="shared" si="161"/>
        <v>PAUH68567PC1.5</v>
      </c>
      <c r="Z505" s="8" t="str">
        <f>IF(Y505='Input - Bookings'!Q738,"OK","Check")</f>
        <v>Check</v>
      </c>
      <c r="AA505" s="139"/>
      <c r="AB505" s="103"/>
      <c r="AC505" s="103"/>
      <c r="AD505" s="100">
        <f t="shared" si="162"/>
        <v>641.02582576834698</v>
      </c>
      <c r="AE505" s="110"/>
      <c r="AF505" s="8" t="str">
        <f t="array" ref="AF505">_xlfn.XLOOKUP($G505,'AP Plants'!D:D,'AP Plants'!B:B)</f>
        <v>Class 3</v>
      </c>
      <c r="AG505" s="102">
        <f>AD505*'Currency &amp; Conversion'!$L$6</f>
        <v>954.61565973422239</v>
      </c>
      <c r="AH505" s="102"/>
      <c r="AI505" s="44">
        <v>1.4999999999999999E-2</v>
      </c>
      <c r="AJ505" s="15">
        <f>_xlfn.XLOOKUP($AF505,Warranty!B:B,Warranty!E:E)</f>
        <v>1.4999999999999999E-2</v>
      </c>
      <c r="AK505" s="8">
        <f>IF($I505="AUD",VLOOKUP(RIGHT('Wk - Margins'!$G505,3),'AU Freight'!C:G,5,0),0)</f>
        <v>100</v>
      </c>
      <c r="AL505" s="15">
        <f t="shared" si="153"/>
        <v>0</v>
      </c>
      <c r="AM505" s="61">
        <f t="shared" si="163"/>
        <v>1083.254129526249</v>
      </c>
      <c r="AN505" s="63">
        <f>1-AM505/M505</f>
        <v>0.15563392142436872</v>
      </c>
      <c r="AQ505" s="147"/>
    </row>
    <row r="506" spans="1:43">
      <c r="A506" s="10" t="str">
        <f>'Input - Bookings'!A506</f>
        <v>10-27</v>
      </c>
      <c r="B506" s="11" t="str">
        <f>'Input - Bookings'!C506</f>
        <v>P</v>
      </c>
      <c r="C506" s="11" t="str">
        <f>'Input - Bookings'!H506</f>
        <v>AU</v>
      </c>
      <c r="D506" s="24" t="str">
        <f>'Input - Bookings'!E506</f>
        <v>065</v>
      </c>
      <c r="E506" s="24" t="str">
        <f>'Input - Bookings'!G506</f>
        <v>ADAPT-A-LIFT GROUP (WA)</v>
      </c>
      <c r="F506" s="146" t="str">
        <f>'Input - Bookings'!I506</f>
        <v>H68569</v>
      </c>
      <c r="G506" s="24" t="str">
        <f>'Input - Bookings'!L506</f>
        <v>A6W9</v>
      </c>
      <c r="H506" s="24" t="str">
        <f>'Input - Bookings'!M506</f>
        <v>PC1.5</v>
      </c>
      <c r="I506" s="24" t="str">
        <f>'Input - Bookings'!B506</f>
        <v>AUD</v>
      </c>
      <c r="J506" s="13" t="str">
        <f>IF(I506="USD",INDEX('AP Plants'!A:A,MATCH(G506,'AP Plants'!D:D,0)),INDEX('Australia Plants'!A:A,MATCH(G506,'Australia Plants'!D:D,0)))</f>
        <v>Staxx</v>
      </c>
      <c r="K506" s="73">
        <v>1</v>
      </c>
      <c r="L506" s="97">
        <v>2140</v>
      </c>
      <c r="M506" s="97">
        <v>1282.92</v>
      </c>
      <c r="N506" s="99">
        <v>0.15563392142436872</v>
      </c>
      <c r="O506" s="25">
        <f t="shared" si="157"/>
        <v>0.40050467289719627</v>
      </c>
      <c r="P506" s="14">
        <f>IFERROR(IF(OR(B506&amp;C506="PAU",B506&amp;C506="AIN"),VLOOKUP(B506&amp;C506&amp;G506,#REF!,8,0),VLOOKUP(B506&amp;G506,#REF!,8,0)),0)</f>
        <v>0</v>
      </c>
      <c r="Q506" s="15">
        <f t="shared" si="158"/>
        <v>0.15563392142436872</v>
      </c>
      <c r="R506" s="16" t="str">
        <f t="shared" si="159"/>
        <v>AOP</v>
      </c>
      <c r="S506" s="17">
        <f t="shared" si="155"/>
        <v>199.66587047375111</v>
      </c>
      <c r="T506" s="18" t="e">
        <f t="shared" si="160"/>
        <v>#DIV/0!</v>
      </c>
      <c r="U506" s="23" t="e">
        <f t="shared" si="152"/>
        <v>#DIV/0!</v>
      </c>
      <c r="Y506" s="8" t="str">
        <f t="shared" si="161"/>
        <v>PAUH68569PC1.5</v>
      </c>
      <c r="Z506" s="8" t="str">
        <f>IF(Y506='Input - Bookings'!Q739,"OK","Check")</f>
        <v>Check</v>
      </c>
      <c r="AA506" s="139"/>
      <c r="AB506" s="103"/>
      <c r="AC506" s="103"/>
      <c r="AD506" s="100">
        <f t="shared" si="162"/>
        <v>641.02582576834698</v>
      </c>
      <c r="AE506" s="98"/>
      <c r="AF506" s="8" t="str">
        <f t="array" ref="AF506">_xlfn.XLOOKUP($G506,'AP Plants'!D:D,'AP Plants'!B:B)</f>
        <v>Class 3</v>
      </c>
      <c r="AG506" s="102">
        <f>AD506*'Currency &amp; Conversion'!$L$6</f>
        <v>954.61565973422239</v>
      </c>
      <c r="AH506" s="102"/>
      <c r="AI506" s="44">
        <v>1.4999999999999999E-2</v>
      </c>
      <c r="AJ506" s="15">
        <f>_xlfn.XLOOKUP($AF506,Warranty!B:B,Warranty!E:E)</f>
        <v>1.4999999999999999E-2</v>
      </c>
      <c r="AK506" s="8">
        <f>IF($I506="AUD",VLOOKUP(RIGHT('Wk - Margins'!$G506,3),'AU Freight'!C:G,5,0),0)</f>
        <v>100</v>
      </c>
      <c r="AL506" s="15">
        <f t="shared" si="153"/>
        <v>0</v>
      </c>
      <c r="AM506" s="61">
        <f t="shared" si="163"/>
        <v>1083.254129526249</v>
      </c>
      <c r="AN506" s="63">
        <f t="shared" si="154"/>
        <v>0.15563392142436872</v>
      </c>
      <c r="AQ506" s="147"/>
    </row>
    <row r="507" spans="1:43">
      <c r="A507" s="10" t="str">
        <f>'Input - Bookings'!A507</f>
        <v>10-27</v>
      </c>
      <c r="B507" s="11" t="str">
        <f>'Input - Bookings'!C507</f>
        <v>P</v>
      </c>
      <c r="C507" s="11" t="str">
        <f>'Input - Bookings'!H507</f>
        <v>AU</v>
      </c>
      <c r="D507" s="24" t="str">
        <f>'Input - Bookings'!E507</f>
        <v>065</v>
      </c>
      <c r="E507" s="24" t="str">
        <f>'Input - Bookings'!G507</f>
        <v>ADAPT-A-LIFT GROUP (WA)</v>
      </c>
      <c r="F507" s="146" t="str">
        <f>'Input - Bookings'!I507</f>
        <v>H68571</v>
      </c>
      <c r="G507" s="24" t="str">
        <f>'Input - Bookings'!L507</f>
        <v>A6W9</v>
      </c>
      <c r="H507" s="24" t="str">
        <f>'Input - Bookings'!M507</f>
        <v>PC1.5</v>
      </c>
      <c r="I507" s="24" t="str">
        <f>'Input - Bookings'!B507</f>
        <v>AUD</v>
      </c>
      <c r="J507" s="13" t="str">
        <f>IF(I507="USD",INDEX('AP Plants'!A:A,MATCH(G507,'AP Plants'!D:D,0)),INDEX('Australia Plants'!A:A,MATCH(G507,'Australia Plants'!D:D,0)))</f>
        <v>Staxx</v>
      </c>
      <c r="K507" s="73">
        <v>1</v>
      </c>
      <c r="L507" s="97">
        <v>2140</v>
      </c>
      <c r="M507" s="97">
        <v>1282.92</v>
      </c>
      <c r="N507" s="99">
        <v>0.15563392142436872</v>
      </c>
      <c r="O507" s="25">
        <f t="shared" si="157"/>
        <v>0.40050467289719627</v>
      </c>
      <c r="P507" s="14">
        <f>IFERROR(IF(OR(B507&amp;C507="PAU",B507&amp;C507="AIN"),VLOOKUP(B507&amp;C507&amp;G507,#REF!,8,0),VLOOKUP(B507&amp;G507,#REF!,8,0)),0)</f>
        <v>0</v>
      </c>
      <c r="Q507" s="15">
        <f t="shared" si="158"/>
        <v>0.15563392142436872</v>
      </c>
      <c r="R507" s="16" t="str">
        <f t="shared" si="159"/>
        <v>AOP</v>
      </c>
      <c r="S507" s="17">
        <f t="shared" si="155"/>
        <v>199.66587047375111</v>
      </c>
      <c r="T507" s="18" t="e">
        <f t="shared" si="160"/>
        <v>#DIV/0!</v>
      </c>
      <c r="U507" s="23" t="e">
        <f t="shared" si="152"/>
        <v>#DIV/0!</v>
      </c>
      <c r="Y507" s="8" t="str">
        <f t="shared" si="161"/>
        <v>PAUH68571PC1.5</v>
      </c>
      <c r="Z507" s="8" t="str">
        <f>IF(Y507='Input - Bookings'!Q740,"OK","Check")</f>
        <v>Check</v>
      </c>
      <c r="AA507" s="139"/>
      <c r="AB507" s="103"/>
      <c r="AC507" s="103"/>
      <c r="AD507" s="100">
        <f t="shared" si="162"/>
        <v>641.02582576834698</v>
      </c>
      <c r="AE507" s="98"/>
      <c r="AF507" s="8" t="str">
        <f t="array" ref="AF507">_xlfn.XLOOKUP($G507,'AP Plants'!D:D,'AP Plants'!B:B)</f>
        <v>Class 3</v>
      </c>
      <c r="AG507" s="102">
        <f>AD507*'Currency &amp; Conversion'!$L$6</f>
        <v>954.61565973422239</v>
      </c>
      <c r="AH507" s="102"/>
      <c r="AI507" s="44">
        <v>1.4999999999999999E-2</v>
      </c>
      <c r="AJ507" s="15">
        <f>_xlfn.XLOOKUP($AF507,Warranty!B:B,Warranty!E:E)</f>
        <v>1.4999999999999999E-2</v>
      </c>
      <c r="AK507" s="8">
        <f>IF($I507="AUD",VLOOKUP(RIGHT('Wk - Margins'!$G507,3),'AU Freight'!C:G,5,0),0)</f>
        <v>100</v>
      </c>
      <c r="AL507" s="15">
        <f t="shared" si="153"/>
        <v>0</v>
      </c>
      <c r="AM507" s="61">
        <f t="shared" si="163"/>
        <v>1083.254129526249</v>
      </c>
      <c r="AN507" s="63">
        <f t="shared" si="154"/>
        <v>0.15563392142436872</v>
      </c>
      <c r="AQ507" s="147"/>
    </row>
    <row r="508" spans="1:43">
      <c r="A508" s="10" t="str">
        <f>'Input - Bookings'!A508</f>
        <v>10-27</v>
      </c>
      <c r="B508" s="11" t="str">
        <f>'Input - Bookings'!C508</f>
        <v>P</v>
      </c>
      <c r="C508" s="11" t="str">
        <f>'Input - Bookings'!H508</f>
        <v>AU</v>
      </c>
      <c r="D508" s="24" t="str">
        <f>'Input - Bookings'!E508</f>
        <v>065</v>
      </c>
      <c r="E508" s="24" t="str">
        <f>'Input - Bookings'!G508</f>
        <v>ADAPT-A-LIFT GROUP (WA)</v>
      </c>
      <c r="F508" s="146" t="str">
        <f>'Input - Bookings'!I508</f>
        <v>H68573</v>
      </c>
      <c r="G508" s="24" t="str">
        <f>'Input - Bookings'!L508</f>
        <v>A6W9</v>
      </c>
      <c r="H508" s="24" t="str">
        <f>'Input - Bookings'!M508</f>
        <v>PC1.5</v>
      </c>
      <c r="I508" s="24" t="str">
        <f>'Input - Bookings'!B508</f>
        <v>AUD</v>
      </c>
      <c r="J508" s="13" t="str">
        <f>IF(I508="USD",INDEX('AP Plants'!A:A,MATCH(G508,'AP Plants'!D:D,0)),INDEX('Australia Plants'!A:A,MATCH(G508,'Australia Plants'!D:D,0)))</f>
        <v>Staxx</v>
      </c>
      <c r="K508" s="73">
        <v>1</v>
      </c>
      <c r="L508" s="97">
        <v>2140</v>
      </c>
      <c r="M508" s="97">
        <v>1282.92</v>
      </c>
      <c r="N508" s="99">
        <v>0.15563392142436872</v>
      </c>
      <c r="O508" s="25">
        <f t="shared" si="157"/>
        <v>0.40050467289719627</v>
      </c>
      <c r="P508" s="14">
        <f>IFERROR(IF(OR(B508&amp;C508="PAU",B508&amp;C508="AIN"),VLOOKUP(B508&amp;C508&amp;G508,#REF!,8,0),VLOOKUP(B508&amp;G508,#REF!,8,0)),0)</f>
        <v>0</v>
      </c>
      <c r="Q508" s="15">
        <f t="shared" si="158"/>
        <v>0.15563392142436872</v>
      </c>
      <c r="R508" s="16" t="str">
        <f t="shared" si="159"/>
        <v>AOP</v>
      </c>
      <c r="S508" s="17">
        <f t="shared" si="155"/>
        <v>199.66587047375111</v>
      </c>
      <c r="T508" s="18" t="e">
        <f t="shared" si="160"/>
        <v>#DIV/0!</v>
      </c>
      <c r="U508" s="23" t="e">
        <f t="shared" si="152"/>
        <v>#DIV/0!</v>
      </c>
      <c r="Y508" s="8" t="str">
        <f t="shared" si="161"/>
        <v>PAUH68573PC1.5</v>
      </c>
      <c r="Z508" s="8" t="str">
        <f>IF(Y508='Input - Bookings'!Q741,"OK","Check")</f>
        <v>Check</v>
      </c>
      <c r="AA508" s="139"/>
      <c r="AB508" s="103"/>
      <c r="AC508" s="103"/>
      <c r="AD508" s="100">
        <f t="shared" si="162"/>
        <v>641.02582576834698</v>
      </c>
      <c r="AE508" s="98"/>
      <c r="AF508" s="8" t="str">
        <f t="array" ref="AF508">_xlfn.XLOOKUP($G508,'AP Plants'!D:D,'AP Plants'!B:B)</f>
        <v>Class 3</v>
      </c>
      <c r="AG508" s="102">
        <f>AD508*'Currency &amp; Conversion'!$L$6</f>
        <v>954.61565973422239</v>
      </c>
      <c r="AH508" s="102"/>
      <c r="AI508" s="44">
        <v>1.4999999999999999E-2</v>
      </c>
      <c r="AJ508" s="15">
        <f>_xlfn.XLOOKUP($AF508,Warranty!B:B,Warranty!E:E)</f>
        <v>1.4999999999999999E-2</v>
      </c>
      <c r="AK508" s="8">
        <f>IF($I508="AUD",VLOOKUP(RIGHT('Wk - Margins'!$G508,3),'AU Freight'!C:G,5,0),0)</f>
        <v>100</v>
      </c>
      <c r="AL508" s="15">
        <f t="shared" si="153"/>
        <v>0</v>
      </c>
      <c r="AM508" s="61">
        <f t="shared" si="163"/>
        <v>1083.254129526249</v>
      </c>
      <c r="AN508" s="63">
        <f t="shared" si="154"/>
        <v>0.15563392142436872</v>
      </c>
      <c r="AQ508" s="147"/>
    </row>
    <row r="509" spans="1:43">
      <c r="A509" s="10" t="str">
        <f>'Input - Bookings'!A509</f>
        <v>10-27</v>
      </c>
      <c r="B509" s="11" t="str">
        <f>'Input - Bookings'!C509</f>
        <v>P</v>
      </c>
      <c r="C509" s="11" t="str">
        <f>'Input - Bookings'!H509</f>
        <v>AU</v>
      </c>
      <c r="D509" s="24" t="str">
        <f>'Input - Bookings'!E509</f>
        <v>065</v>
      </c>
      <c r="E509" s="24" t="str">
        <f>'Input - Bookings'!G509</f>
        <v>ADAPT-A-LIFT GROUP (WA)</v>
      </c>
      <c r="F509" s="146" t="str">
        <f>'Input - Bookings'!I509</f>
        <v>H68575</v>
      </c>
      <c r="G509" s="24" t="str">
        <f>'Input - Bookings'!L509</f>
        <v>A6W9</v>
      </c>
      <c r="H509" s="24" t="str">
        <f>'Input - Bookings'!M509</f>
        <v>PC1.5</v>
      </c>
      <c r="I509" s="24" t="str">
        <f>'Input - Bookings'!B509</f>
        <v>AUD</v>
      </c>
      <c r="J509" s="13" t="str">
        <f>IF(I509="USD",INDEX('AP Plants'!A:A,MATCH(G509,'AP Plants'!D:D,0)),INDEX('Australia Plants'!A:A,MATCH(G509,'Australia Plants'!D:D,0)))</f>
        <v>Staxx</v>
      </c>
      <c r="K509" s="73">
        <v>1</v>
      </c>
      <c r="L509" s="97">
        <v>2140</v>
      </c>
      <c r="M509" s="97">
        <v>1282.92</v>
      </c>
      <c r="N509" s="99">
        <v>0.15563392142436872</v>
      </c>
      <c r="O509" s="25">
        <f t="shared" si="157"/>
        <v>0.40050467289719627</v>
      </c>
      <c r="P509" s="14">
        <f>IFERROR(IF(OR(B509&amp;C509="PAU",B509&amp;C509="AIN"),VLOOKUP(B509&amp;C509&amp;G509,#REF!,8,0),VLOOKUP(B509&amp;G509,#REF!,8,0)),0)</f>
        <v>0</v>
      </c>
      <c r="Q509" s="15">
        <f t="shared" si="158"/>
        <v>0.15563392142436872</v>
      </c>
      <c r="R509" s="16" t="str">
        <f t="shared" si="159"/>
        <v>AOP</v>
      </c>
      <c r="S509" s="17">
        <f t="shared" si="155"/>
        <v>199.66587047375111</v>
      </c>
      <c r="T509" s="18" t="e">
        <f t="shared" si="160"/>
        <v>#DIV/0!</v>
      </c>
      <c r="U509" s="23" t="e">
        <f t="shared" si="152"/>
        <v>#DIV/0!</v>
      </c>
      <c r="Y509" s="8" t="str">
        <f t="shared" si="161"/>
        <v>PAUH68575PC1.5</v>
      </c>
      <c r="Z509" s="8" t="str">
        <f>IF(Y509='Input - Bookings'!Q742,"OK","Check")</f>
        <v>Check</v>
      </c>
      <c r="AA509" s="140"/>
      <c r="AB509" s="103"/>
      <c r="AC509" s="103"/>
      <c r="AD509" s="100">
        <f t="shared" si="162"/>
        <v>641.02582576834698</v>
      </c>
      <c r="AE509" s="110"/>
      <c r="AF509" s="8" t="str">
        <f t="array" ref="AF509">_xlfn.XLOOKUP($G509,'AP Plants'!D:D,'AP Plants'!B:B)</f>
        <v>Class 3</v>
      </c>
      <c r="AG509" s="102">
        <f>AD509*'Currency &amp; Conversion'!$L$6</f>
        <v>954.61565973422239</v>
      </c>
      <c r="AH509" s="102"/>
      <c r="AI509" s="44">
        <v>1.4999999999999999E-2</v>
      </c>
      <c r="AJ509" s="15">
        <f>_xlfn.XLOOKUP($AF509,Warranty!B:B,Warranty!E:E)</f>
        <v>1.4999999999999999E-2</v>
      </c>
      <c r="AK509" s="8">
        <f>IF($I509="AUD",VLOOKUP(RIGHT('Wk - Margins'!$G509,3),'AU Freight'!C:G,5,0),0)</f>
        <v>100</v>
      </c>
      <c r="AL509" s="15">
        <f t="shared" si="153"/>
        <v>0</v>
      </c>
      <c r="AM509" s="61">
        <f t="shared" si="163"/>
        <v>1083.254129526249</v>
      </c>
      <c r="AN509" s="63">
        <f t="shared" si="154"/>
        <v>0.15563392142436872</v>
      </c>
      <c r="AQ509" s="147"/>
    </row>
    <row r="510" spans="1:43">
      <c r="A510" s="10" t="str">
        <f>'Input - Bookings'!A510</f>
        <v>10-27</v>
      </c>
      <c r="B510" s="11" t="str">
        <f>'Input - Bookings'!C510</f>
        <v>P</v>
      </c>
      <c r="C510" s="11" t="str">
        <f>'Input - Bookings'!H510</f>
        <v>AU</v>
      </c>
      <c r="D510" s="24" t="str">
        <f>'Input - Bookings'!E510</f>
        <v>065</v>
      </c>
      <c r="E510" s="24" t="str">
        <f>'Input - Bookings'!G510</f>
        <v>ADAPT-A-LIFT GROUP (WA)</v>
      </c>
      <c r="F510" s="146" t="str">
        <f>'Input - Bookings'!I510</f>
        <v>H68577</v>
      </c>
      <c r="G510" s="24" t="str">
        <f>'Input - Bookings'!L510</f>
        <v>A6W9</v>
      </c>
      <c r="H510" s="24" t="str">
        <f>'Input - Bookings'!M510</f>
        <v>PC1.5</v>
      </c>
      <c r="I510" s="24" t="str">
        <f>'Input - Bookings'!B510</f>
        <v>AUD</v>
      </c>
      <c r="J510" s="13" t="str">
        <f>IF(I510="USD",INDEX('AP Plants'!A:A,MATCH(G510,'AP Plants'!D:D,0)),INDEX('Australia Plants'!A:A,MATCH(G510,'Australia Plants'!D:D,0)))</f>
        <v>Staxx</v>
      </c>
      <c r="K510" s="73">
        <v>1</v>
      </c>
      <c r="L510" s="97">
        <v>2140</v>
      </c>
      <c r="M510" s="97">
        <v>1282.92</v>
      </c>
      <c r="N510" s="99">
        <v>0.15563392142436872</v>
      </c>
      <c r="O510" s="25">
        <f t="shared" si="157"/>
        <v>0.40050467289719627</v>
      </c>
      <c r="P510" s="14">
        <f>IFERROR(IF(OR(B510&amp;C510="PAU",B510&amp;C510="AIN"),VLOOKUP(B510&amp;C510&amp;G510,#REF!,8,0),VLOOKUP(B510&amp;G510,#REF!,8,0)),0)</f>
        <v>0</v>
      </c>
      <c r="Q510" s="15">
        <f t="shared" si="158"/>
        <v>0.15563392142436872</v>
      </c>
      <c r="R510" s="16" t="str">
        <f t="shared" si="159"/>
        <v>AOP</v>
      </c>
      <c r="S510" s="17">
        <f t="shared" si="155"/>
        <v>199.66587047375111</v>
      </c>
      <c r="T510" s="18" t="e">
        <f t="shared" si="160"/>
        <v>#DIV/0!</v>
      </c>
      <c r="U510" s="23" t="e">
        <f t="shared" si="152"/>
        <v>#DIV/0!</v>
      </c>
      <c r="Y510" s="8" t="str">
        <f t="shared" si="161"/>
        <v>PAUH68577PC1.5</v>
      </c>
      <c r="Z510" s="8" t="str">
        <f>IF(Y510='Input - Bookings'!Q743,"OK","Check")</f>
        <v>Check</v>
      </c>
      <c r="AA510" s="118"/>
      <c r="AB510" s="103"/>
      <c r="AC510" s="103"/>
      <c r="AD510" s="100">
        <f t="shared" si="162"/>
        <v>641.02582576834698</v>
      </c>
      <c r="AE510" s="110"/>
      <c r="AF510" s="8" t="str">
        <f t="array" ref="AF510">_xlfn.XLOOKUP($G510,'AP Plants'!D:D,'AP Plants'!B:B)</f>
        <v>Class 3</v>
      </c>
      <c r="AG510" s="102">
        <f>AD510*'Currency &amp; Conversion'!$L$6</f>
        <v>954.61565973422239</v>
      </c>
      <c r="AH510" s="102"/>
      <c r="AI510" s="44">
        <v>1.4999999999999999E-2</v>
      </c>
      <c r="AJ510" s="15">
        <f>_xlfn.XLOOKUP($AF510,Warranty!B:B,Warranty!E:E)</f>
        <v>1.4999999999999999E-2</v>
      </c>
      <c r="AK510" s="8">
        <f>IF($I510="AUD",VLOOKUP(RIGHT('Wk - Margins'!$G510,3),'AU Freight'!C:G,5,0),0)</f>
        <v>100</v>
      </c>
      <c r="AL510" s="15">
        <f t="shared" si="153"/>
        <v>0</v>
      </c>
      <c r="AM510" s="61">
        <f t="shared" si="163"/>
        <v>1083.254129526249</v>
      </c>
      <c r="AN510" s="63">
        <f t="shared" si="154"/>
        <v>0.15563392142436872</v>
      </c>
      <c r="AQ510" s="147"/>
    </row>
    <row r="511" spans="1:43">
      <c r="A511" s="10" t="str">
        <f>'Input - Bookings'!A511</f>
        <v>10-27</v>
      </c>
      <c r="B511" s="11" t="str">
        <f>'Input - Bookings'!C511</f>
        <v>P</v>
      </c>
      <c r="C511" s="11" t="str">
        <f>'Input - Bookings'!H511</f>
        <v>AU</v>
      </c>
      <c r="D511" s="24" t="str">
        <f>'Input - Bookings'!E511</f>
        <v>065</v>
      </c>
      <c r="E511" s="24" t="str">
        <f>'Input - Bookings'!G511</f>
        <v>ADAPT-A-LIFT GROUP (WA)</v>
      </c>
      <c r="F511" s="146" t="str">
        <f>'Input - Bookings'!I511</f>
        <v>H68579</v>
      </c>
      <c r="G511" s="24" t="str">
        <f>'Input - Bookings'!L511</f>
        <v>A6W9</v>
      </c>
      <c r="H511" s="24" t="str">
        <f>'Input - Bookings'!M511</f>
        <v>PC1.5</v>
      </c>
      <c r="I511" s="24" t="str">
        <f>'Input - Bookings'!B511</f>
        <v>AUD</v>
      </c>
      <c r="J511" s="13" t="str">
        <f>IF(I511="USD",INDEX('AP Plants'!A:A,MATCH(G511,'AP Plants'!D:D,0)),INDEX('Australia Plants'!A:A,MATCH(G511,'Australia Plants'!D:D,0)))</f>
        <v>Staxx</v>
      </c>
      <c r="K511" s="73">
        <v>1</v>
      </c>
      <c r="L511" s="97">
        <v>2140</v>
      </c>
      <c r="M511" s="97">
        <v>1282.92</v>
      </c>
      <c r="N511" s="99">
        <v>0.15563392142436872</v>
      </c>
      <c r="O511" s="25">
        <f t="shared" si="157"/>
        <v>0.40050467289719627</v>
      </c>
      <c r="P511" s="14">
        <f>IFERROR(IF(OR(B511&amp;C511="PAU",B511&amp;C511="AIN"),VLOOKUP(B511&amp;C511&amp;G511,#REF!,8,0),VLOOKUP(B511&amp;G511,#REF!,8,0)),0)</f>
        <v>0</v>
      </c>
      <c r="Q511" s="15">
        <f t="shared" si="158"/>
        <v>0.15563392142436872</v>
      </c>
      <c r="R511" s="16" t="str">
        <f t="shared" si="159"/>
        <v>AOP</v>
      </c>
      <c r="S511" s="17">
        <f t="shared" si="155"/>
        <v>199.66587047375111</v>
      </c>
      <c r="T511" s="18" t="e">
        <f t="shared" si="160"/>
        <v>#DIV/0!</v>
      </c>
      <c r="U511" s="23" t="e">
        <f t="shared" si="152"/>
        <v>#DIV/0!</v>
      </c>
      <c r="Y511" s="8" t="str">
        <f t="shared" si="161"/>
        <v>PAUH68579PC1.5</v>
      </c>
      <c r="Z511" s="8" t="str">
        <f>IF(Y511='Input - Bookings'!Q744,"OK","Check")</f>
        <v>Check</v>
      </c>
      <c r="AA511" s="118"/>
      <c r="AB511" s="103"/>
      <c r="AC511" s="103"/>
      <c r="AD511" s="100">
        <f t="shared" si="162"/>
        <v>641.02582576834698</v>
      </c>
      <c r="AE511" s="110"/>
      <c r="AF511" s="8" t="str">
        <f t="array" ref="AF511">_xlfn.XLOOKUP($G511,'AP Plants'!D:D,'AP Plants'!B:B)</f>
        <v>Class 3</v>
      </c>
      <c r="AG511" s="102">
        <f>AD511*'Currency &amp; Conversion'!$L$6</f>
        <v>954.61565973422239</v>
      </c>
      <c r="AH511" s="102"/>
      <c r="AI511" s="44">
        <v>1.4999999999999999E-2</v>
      </c>
      <c r="AJ511" s="15">
        <f>_xlfn.XLOOKUP($AF511,Warranty!B:B,Warranty!E:E)</f>
        <v>1.4999999999999999E-2</v>
      </c>
      <c r="AK511" s="8">
        <f>IF($I511="AUD",VLOOKUP(RIGHT('Wk - Margins'!$G511,3),'AU Freight'!C:G,5,0),0)</f>
        <v>100</v>
      </c>
      <c r="AL511" s="15">
        <f t="shared" si="153"/>
        <v>0</v>
      </c>
      <c r="AM511" s="61">
        <f t="shared" si="163"/>
        <v>1083.254129526249</v>
      </c>
      <c r="AN511" s="63">
        <f t="shared" si="154"/>
        <v>0.15563392142436872</v>
      </c>
      <c r="AQ511" s="147"/>
    </row>
    <row r="512" spans="1:43">
      <c r="A512" s="10" t="str">
        <f>'Input - Bookings'!A512</f>
        <v>10-27</v>
      </c>
      <c r="B512" s="11" t="str">
        <f>'Input - Bookings'!C512</f>
        <v>P</v>
      </c>
      <c r="C512" s="11" t="str">
        <f>'Input - Bookings'!H512</f>
        <v>AU</v>
      </c>
      <c r="D512" s="24" t="str">
        <f>'Input - Bookings'!E512</f>
        <v>065</v>
      </c>
      <c r="E512" s="24" t="str">
        <f>'Input - Bookings'!G512</f>
        <v>ADAPT-A-LIFT GROUP (WA)</v>
      </c>
      <c r="F512" s="146" t="str">
        <f>'Input - Bookings'!I512</f>
        <v>H68581</v>
      </c>
      <c r="G512" s="24" t="str">
        <f>'Input - Bookings'!L512</f>
        <v>A6W9</v>
      </c>
      <c r="H512" s="24" t="str">
        <f>'Input - Bookings'!M512</f>
        <v>PC1.5</v>
      </c>
      <c r="I512" s="24" t="str">
        <f>'Input - Bookings'!B512</f>
        <v>AUD</v>
      </c>
      <c r="J512" s="13" t="str">
        <f>IF(I512="USD",INDEX('AP Plants'!A:A,MATCH(G512,'AP Plants'!D:D,0)),INDEX('Australia Plants'!A:A,MATCH(G512,'Australia Plants'!D:D,0)))</f>
        <v>Staxx</v>
      </c>
      <c r="K512" s="73">
        <v>1</v>
      </c>
      <c r="L512" s="97">
        <v>2140</v>
      </c>
      <c r="M512" s="97">
        <v>1282.92</v>
      </c>
      <c r="N512" s="99">
        <v>0.15563392142436872</v>
      </c>
      <c r="O512" s="25">
        <f t="shared" si="157"/>
        <v>0.40050467289719627</v>
      </c>
      <c r="P512" s="14">
        <f>IFERROR(IF(OR(B512&amp;C512="PAU",B512&amp;C512="AIN"),VLOOKUP(B512&amp;C512&amp;G512,#REF!,8,0),VLOOKUP(B512&amp;G512,#REF!,8,0)),0)</f>
        <v>0</v>
      </c>
      <c r="Q512" s="15">
        <f t="shared" si="158"/>
        <v>0.15563392142436872</v>
      </c>
      <c r="R512" s="16" t="str">
        <f t="shared" si="159"/>
        <v>AOP</v>
      </c>
      <c r="S512" s="17">
        <f t="shared" si="155"/>
        <v>199.66587047375111</v>
      </c>
      <c r="T512" s="18" t="e">
        <f t="shared" si="160"/>
        <v>#DIV/0!</v>
      </c>
      <c r="U512" s="23" t="e">
        <f t="shared" si="152"/>
        <v>#DIV/0!</v>
      </c>
      <c r="Y512" s="8" t="str">
        <f t="shared" si="161"/>
        <v>PAUH68581PC1.5</v>
      </c>
      <c r="Z512" s="8" t="str">
        <f>IF(Y512='Input - Bookings'!Q745,"OK","Check")</f>
        <v>Check</v>
      </c>
      <c r="AA512" s="118"/>
      <c r="AB512" s="103"/>
      <c r="AC512" s="103"/>
      <c r="AD512" s="100">
        <f t="shared" si="162"/>
        <v>641.02582576834698</v>
      </c>
      <c r="AE512" s="98"/>
      <c r="AF512" s="8" t="str">
        <f t="array" ref="AF512">_xlfn.XLOOKUP($G512,'AP Plants'!D:D,'AP Plants'!B:B)</f>
        <v>Class 3</v>
      </c>
      <c r="AG512" s="102">
        <f>AD512*'Currency &amp; Conversion'!$L$6</f>
        <v>954.61565973422239</v>
      </c>
      <c r="AH512" s="102"/>
      <c r="AI512" s="44">
        <v>1.4999999999999999E-2</v>
      </c>
      <c r="AJ512" s="15">
        <f>_xlfn.XLOOKUP($AF512,Warranty!B:B,Warranty!E:E)</f>
        <v>1.4999999999999999E-2</v>
      </c>
      <c r="AK512" s="8">
        <f>IF($I512="AUD",VLOOKUP(RIGHT('Wk - Margins'!$G512,3),'AU Freight'!C:G,5,0),0)</f>
        <v>100</v>
      </c>
      <c r="AL512" s="15">
        <f t="shared" si="153"/>
        <v>0</v>
      </c>
      <c r="AM512" s="61">
        <f t="shared" si="163"/>
        <v>1083.254129526249</v>
      </c>
      <c r="AN512" s="63">
        <f t="shared" si="154"/>
        <v>0.15563392142436872</v>
      </c>
      <c r="AQ512" s="147"/>
    </row>
    <row r="513" spans="1:43">
      <c r="A513" s="10" t="str">
        <f>'Input - Bookings'!A513</f>
        <v>10-27</v>
      </c>
      <c r="B513" s="11" t="str">
        <f>'Input - Bookings'!C513</f>
        <v>P</v>
      </c>
      <c r="C513" s="11" t="str">
        <f>'Input - Bookings'!H513</f>
        <v>AU</v>
      </c>
      <c r="D513" s="24" t="str">
        <f>'Input - Bookings'!E513</f>
        <v>065</v>
      </c>
      <c r="E513" s="24" t="str">
        <f>'Input - Bookings'!G513</f>
        <v>ADAPT-A-LIFT GROUP (WA)</v>
      </c>
      <c r="F513" s="146" t="str">
        <f>'Input - Bookings'!I513</f>
        <v>H68583</v>
      </c>
      <c r="G513" s="24" t="str">
        <f>'Input - Bookings'!L513</f>
        <v>A6W9</v>
      </c>
      <c r="H513" s="24" t="str">
        <f>'Input - Bookings'!M513</f>
        <v>PC1.5</v>
      </c>
      <c r="I513" s="24" t="str">
        <f>'Input - Bookings'!B513</f>
        <v>AUD</v>
      </c>
      <c r="J513" s="13" t="str">
        <f>IF(I513="USD",INDEX('AP Plants'!A:A,MATCH(G513,'AP Plants'!D:D,0)),INDEX('Australia Plants'!A:A,MATCH(G513,'Australia Plants'!D:D,0)))</f>
        <v>Staxx</v>
      </c>
      <c r="K513" s="73">
        <v>1</v>
      </c>
      <c r="L513" s="97">
        <v>2140</v>
      </c>
      <c r="M513" s="97">
        <v>1282.92</v>
      </c>
      <c r="N513" s="99">
        <v>0.15563392142436872</v>
      </c>
      <c r="O513" s="25">
        <f t="shared" si="157"/>
        <v>0.40050467289719627</v>
      </c>
      <c r="P513" s="14">
        <f>IFERROR(IF(OR(B513&amp;C513="PAU",B513&amp;C513="AIN"),VLOOKUP(B513&amp;C513&amp;G513,#REF!,8,0),VLOOKUP(B513&amp;G513,#REF!,8,0)),0)</f>
        <v>0</v>
      </c>
      <c r="Q513" s="15">
        <f t="shared" si="158"/>
        <v>0.15563392142436872</v>
      </c>
      <c r="R513" s="16" t="str">
        <f t="shared" si="159"/>
        <v>AOP</v>
      </c>
      <c r="S513" s="17">
        <f t="shared" si="155"/>
        <v>199.66587047375111</v>
      </c>
      <c r="T513" s="18" t="e">
        <f t="shared" si="160"/>
        <v>#DIV/0!</v>
      </c>
      <c r="U513" s="23" t="e">
        <f t="shared" si="152"/>
        <v>#DIV/0!</v>
      </c>
      <c r="Y513" s="8" t="str">
        <f t="shared" si="161"/>
        <v>PAUH68583PC1.5</v>
      </c>
      <c r="Z513" s="8" t="str">
        <f>IF(Y513='Input - Bookings'!Q746,"OK","Check")</f>
        <v>Check</v>
      </c>
      <c r="AA513" s="118"/>
      <c r="AB513" s="103"/>
      <c r="AC513" s="103"/>
      <c r="AD513" s="100">
        <f t="shared" si="162"/>
        <v>641.02582576834698</v>
      </c>
      <c r="AE513" s="98"/>
      <c r="AF513" s="8" t="str">
        <f t="array" ref="AF513">_xlfn.XLOOKUP($G513,'AP Plants'!D:D,'AP Plants'!B:B)</f>
        <v>Class 3</v>
      </c>
      <c r="AG513" s="102">
        <f>AD513*'Currency &amp; Conversion'!$L$6</f>
        <v>954.61565973422239</v>
      </c>
      <c r="AH513" s="102"/>
      <c r="AI513" s="44">
        <v>1.4999999999999999E-2</v>
      </c>
      <c r="AJ513" s="15">
        <f>_xlfn.XLOOKUP($AF513,Warranty!B:B,Warranty!E:E)</f>
        <v>1.4999999999999999E-2</v>
      </c>
      <c r="AK513" s="8">
        <f>IF($I513="AUD",VLOOKUP(RIGHT('Wk - Margins'!$G513,3),'AU Freight'!C:G,5,0),0)</f>
        <v>100</v>
      </c>
      <c r="AL513" s="15">
        <f t="shared" si="153"/>
        <v>0</v>
      </c>
      <c r="AM513" s="61">
        <f t="shared" si="163"/>
        <v>1083.254129526249</v>
      </c>
      <c r="AN513" s="63">
        <f t="shared" si="154"/>
        <v>0.15563392142436872</v>
      </c>
      <c r="AQ513" s="147"/>
    </row>
    <row r="514" spans="1:43">
      <c r="A514" s="10" t="str">
        <f>'Input - Bookings'!A514</f>
        <v>10-27</v>
      </c>
      <c r="B514" s="11" t="str">
        <f>'Input - Bookings'!C514</f>
        <v>P</v>
      </c>
      <c r="C514" s="11" t="str">
        <f>'Input - Bookings'!H514</f>
        <v>AU</v>
      </c>
      <c r="D514" s="24" t="str">
        <f>'Input - Bookings'!E514</f>
        <v>065</v>
      </c>
      <c r="E514" s="24" t="str">
        <f>'Input - Bookings'!G514</f>
        <v>ADAPT-A-LIFT GROUP (WA)</v>
      </c>
      <c r="F514" s="146" t="str">
        <f>'Input - Bookings'!I514</f>
        <v>H68585</v>
      </c>
      <c r="G514" s="24" t="str">
        <f>'Input - Bookings'!L514</f>
        <v>A6W9</v>
      </c>
      <c r="H514" s="24" t="str">
        <f>'Input - Bookings'!M514</f>
        <v>PC1.5</v>
      </c>
      <c r="I514" s="24" t="str">
        <f>'Input - Bookings'!B514</f>
        <v>AUD</v>
      </c>
      <c r="J514" s="13" t="str">
        <f>IF(I514="USD",INDEX('AP Plants'!A:A,MATCH(G514,'AP Plants'!D:D,0)),INDEX('Australia Plants'!A:A,MATCH(G514,'Australia Plants'!D:D,0)))</f>
        <v>Staxx</v>
      </c>
      <c r="K514" s="73">
        <v>1</v>
      </c>
      <c r="L514" s="97">
        <v>2140</v>
      </c>
      <c r="M514" s="97">
        <v>1282.92</v>
      </c>
      <c r="N514" s="99">
        <v>0.15563392142436872</v>
      </c>
      <c r="O514" s="25">
        <f t="shared" si="157"/>
        <v>0.40050467289719627</v>
      </c>
      <c r="P514" s="14">
        <f>IFERROR(IF(OR(B514&amp;C514="PAU",B514&amp;C514="AIN"),VLOOKUP(B514&amp;C514&amp;G514,#REF!,8,0),VLOOKUP(B514&amp;G514,#REF!,8,0)),0)</f>
        <v>0</v>
      </c>
      <c r="Q514" s="15">
        <f t="shared" si="158"/>
        <v>0.15563392142436872</v>
      </c>
      <c r="R514" s="16" t="str">
        <f t="shared" si="159"/>
        <v>AOP</v>
      </c>
      <c r="S514" s="17">
        <f t="shared" si="155"/>
        <v>199.66587047375111</v>
      </c>
      <c r="T514" s="18" t="e">
        <f t="shared" si="160"/>
        <v>#DIV/0!</v>
      </c>
      <c r="U514" s="23" t="e">
        <f t="shared" si="152"/>
        <v>#DIV/0!</v>
      </c>
      <c r="Y514" s="8" t="str">
        <f t="shared" si="161"/>
        <v>PAUH68585PC1.5</v>
      </c>
      <c r="Z514" s="8" t="str">
        <f>IF(Y514='Input - Bookings'!Q747,"OK","Check")</f>
        <v>Check</v>
      </c>
      <c r="AA514" s="118"/>
      <c r="AB514" s="103"/>
      <c r="AC514" s="103"/>
      <c r="AD514" s="100">
        <f t="shared" si="162"/>
        <v>641.02582576834698</v>
      </c>
      <c r="AE514" s="100"/>
      <c r="AF514" s="8" t="str">
        <f t="array" ref="AF514">_xlfn.XLOOKUP($G514,'AP Plants'!D:D,'AP Plants'!B:B)</f>
        <v>Class 3</v>
      </c>
      <c r="AG514" s="102">
        <f>AD514*'Currency &amp; Conversion'!$L$6</f>
        <v>954.61565973422239</v>
      </c>
      <c r="AH514" s="102"/>
      <c r="AI514" s="44">
        <v>1.4999999999999999E-2</v>
      </c>
      <c r="AJ514" s="15">
        <f>_xlfn.XLOOKUP($AF514,Warranty!B:B,Warranty!E:E)</f>
        <v>1.4999999999999999E-2</v>
      </c>
      <c r="AK514" s="8">
        <f>IF($I514="AUD",VLOOKUP(RIGHT('Wk - Margins'!$G514,3),'AU Freight'!C:G,5,0),0)</f>
        <v>100</v>
      </c>
      <c r="AL514" s="15">
        <f t="shared" si="153"/>
        <v>0</v>
      </c>
      <c r="AM514" s="61">
        <f t="shared" si="163"/>
        <v>1083.254129526249</v>
      </c>
      <c r="AN514" s="63">
        <f t="shared" si="154"/>
        <v>0.15563392142436872</v>
      </c>
      <c r="AQ514" s="147"/>
    </row>
    <row r="515" spans="1:43">
      <c r="A515" s="10" t="str">
        <f>'Input - Bookings'!A515</f>
        <v>10-27</v>
      </c>
      <c r="B515" s="11" t="str">
        <f>'Input - Bookings'!C515</f>
        <v>P</v>
      </c>
      <c r="C515" s="11" t="str">
        <f>'Input - Bookings'!H515</f>
        <v>AU</v>
      </c>
      <c r="D515" s="24" t="str">
        <f>'Input - Bookings'!E515</f>
        <v>065</v>
      </c>
      <c r="E515" s="24" t="str">
        <f>'Input - Bookings'!G515</f>
        <v>ADAPT-A-LIFT GROUP (WA)</v>
      </c>
      <c r="F515" s="146" t="str">
        <f>'Input - Bookings'!I515</f>
        <v>H68587</v>
      </c>
      <c r="G515" s="24" t="str">
        <f>'Input - Bookings'!L515</f>
        <v>A6W9</v>
      </c>
      <c r="H515" s="24" t="str">
        <f>'Input - Bookings'!M515</f>
        <v>PC1.5</v>
      </c>
      <c r="I515" s="24" t="str">
        <f>'Input - Bookings'!B515</f>
        <v>AUD</v>
      </c>
      <c r="J515" s="13" t="str">
        <f>IF(I515="USD",INDEX('AP Plants'!A:A,MATCH(G515,'AP Plants'!D:D,0)),INDEX('Australia Plants'!A:A,MATCH(G515,'Australia Plants'!D:D,0)))</f>
        <v>Staxx</v>
      </c>
      <c r="K515" s="73">
        <v>1</v>
      </c>
      <c r="L515" s="97">
        <v>2140</v>
      </c>
      <c r="M515" s="97">
        <v>1282.92</v>
      </c>
      <c r="N515" s="99">
        <v>0.15563392142436872</v>
      </c>
      <c r="O515" s="25">
        <f t="shared" si="157"/>
        <v>0.40050467289719627</v>
      </c>
      <c r="P515" s="14">
        <f>IFERROR(IF(OR(B515&amp;C515="PAU",B515&amp;C515="AIN"),VLOOKUP(B515&amp;C515&amp;G515,#REF!,8,0),VLOOKUP(B515&amp;G515,#REF!,8,0)),0)</f>
        <v>0</v>
      </c>
      <c r="Q515" s="15">
        <f t="shared" si="158"/>
        <v>0.15563392142436872</v>
      </c>
      <c r="R515" s="16" t="str">
        <f t="shared" si="159"/>
        <v>AOP</v>
      </c>
      <c r="S515" s="17">
        <f t="shared" si="155"/>
        <v>199.66587047375111</v>
      </c>
      <c r="T515" s="18" t="e">
        <f t="shared" si="160"/>
        <v>#DIV/0!</v>
      </c>
      <c r="U515" s="23" t="e">
        <f t="shared" ref="U515:U578" si="164">IF(I515="USD",M515,M515/$X$6)</f>
        <v>#DIV/0!</v>
      </c>
      <c r="Y515" s="8" t="str">
        <f t="shared" si="161"/>
        <v>PAUH68587PC1.5</v>
      </c>
      <c r="Z515" s="8" t="str">
        <f>IF(Y515='Input - Bookings'!Q748,"OK","Check")</f>
        <v>Check</v>
      </c>
      <c r="AA515" s="118"/>
      <c r="AB515" s="103"/>
      <c r="AC515" s="103"/>
      <c r="AD515" s="100">
        <f t="shared" si="162"/>
        <v>641.02582576834698</v>
      </c>
      <c r="AE515" s="100"/>
      <c r="AF515" s="8" t="str">
        <f t="array" ref="AF515">_xlfn.XLOOKUP($G515,'AP Plants'!D:D,'AP Plants'!B:B)</f>
        <v>Class 3</v>
      </c>
      <c r="AG515" s="102">
        <f>AD515*'Currency &amp; Conversion'!$L$6</f>
        <v>954.61565973422239</v>
      </c>
      <c r="AH515" s="102"/>
      <c r="AI515" s="44">
        <v>1.4999999999999999E-2</v>
      </c>
      <c r="AJ515" s="15">
        <f>_xlfn.XLOOKUP($AF515,Warranty!B:B,Warranty!E:E)</f>
        <v>1.4999999999999999E-2</v>
      </c>
      <c r="AK515" s="8">
        <f>IF($I515="AUD",VLOOKUP(RIGHT('Wk - Margins'!$G515,3),'AU Freight'!C:G,5,0),0)</f>
        <v>100</v>
      </c>
      <c r="AL515" s="15">
        <f t="shared" ref="AL515:AL578" si="165">IF(AND($I515="AUD",$AF515="Class 5 BT"),5%,0%)</f>
        <v>0</v>
      </c>
      <c r="AM515" s="61">
        <f t="shared" si="163"/>
        <v>1083.254129526249</v>
      </c>
      <c r="AN515" s="63">
        <f t="shared" ref="AN515:AN578" si="166">1-AM515/M515</f>
        <v>0.15563392142436872</v>
      </c>
      <c r="AQ515" s="147"/>
    </row>
    <row r="516" spans="1:43">
      <c r="A516" s="10" t="str">
        <f>'Input - Bookings'!A516</f>
        <v>10-27</v>
      </c>
      <c r="B516" s="11" t="str">
        <f>'Input - Bookings'!C516</f>
        <v>P</v>
      </c>
      <c r="C516" s="11" t="str">
        <f>'Input - Bookings'!H516</f>
        <v>AU</v>
      </c>
      <c r="D516" s="24" t="str">
        <f>'Input - Bookings'!E516</f>
        <v>065</v>
      </c>
      <c r="E516" s="24" t="str">
        <f>'Input - Bookings'!G516</f>
        <v>ADAPT-A-LIFT GROUP (WA)</v>
      </c>
      <c r="F516" s="146" t="str">
        <f>'Input - Bookings'!I516</f>
        <v>H68589</v>
      </c>
      <c r="G516" s="24" t="str">
        <f>'Input - Bookings'!L516</f>
        <v>A6W9</v>
      </c>
      <c r="H516" s="24" t="str">
        <f>'Input - Bookings'!M516</f>
        <v>PC1.5</v>
      </c>
      <c r="I516" s="24" t="str">
        <f>'Input - Bookings'!B516</f>
        <v>AUD</v>
      </c>
      <c r="J516" s="13" t="str">
        <f>IF(I516="USD",INDEX('AP Plants'!A:A,MATCH(G516,'AP Plants'!D:D,0)),INDEX('Australia Plants'!A:A,MATCH(G516,'Australia Plants'!D:D,0)))</f>
        <v>Staxx</v>
      </c>
      <c r="K516" s="73">
        <v>1</v>
      </c>
      <c r="L516" s="97">
        <v>2140</v>
      </c>
      <c r="M516" s="97">
        <v>1282.92</v>
      </c>
      <c r="N516" s="99">
        <v>0.15563392142436872</v>
      </c>
      <c r="O516" s="25">
        <f t="shared" si="157"/>
        <v>0.40050467289719627</v>
      </c>
      <c r="P516" s="14">
        <f>IFERROR(IF(OR(B516&amp;C516="PAU",B516&amp;C516="AIN"),VLOOKUP(B516&amp;C516&amp;G516,#REF!,8,0),VLOOKUP(B516&amp;G516,#REF!,8,0)),0)</f>
        <v>0</v>
      </c>
      <c r="Q516" s="15">
        <f t="shared" si="158"/>
        <v>0.15563392142436872</v>
      </c>
      <c r="R516" s="16" t="str">
        <f t="shared" si="159"/>
        <v>AOP</v>
      </c>
      <c r="S516" s="17">
        <f t="shared" si="155"/>
        <v>199.66587047375111</v>
      </c>
      <c r="T516" s="18" t="e">
        <f t="shared" si="160"/>
        <v>#DIV/0!</v>
      </c>
      <c r="U516" s="23" t="e">
        <f t="shared" si="164"/>
        <v>#DIV/0!</v>
      </c>
      <c r="Y516" s="8" t="str">
        <f t="shared" si="161"/>
        <v>PAUH68589PC1.5</v>
      </c>
      <c r="Z516" s="8" t="str">
        <f>IF(Y516='Input - Bookings'!Q749,"OK","Check")</f>
        <v>Check</v>
      </c>
      <c r="AA516" s="118"/>
      <c r="AB516" s="103"/>
      <c r="AC516" s="103"/>
      <c r="AD516" s="100">
        <f t="shared" si="162"/>
        <v>641.02582576834698</v>
      </c>
      <c r="AE516" s="100"/>
      <c r="AF516" s="8" t="str">
        <f t="array" ref="AF516">_xlfn.XLOOKUP($G516,'AP Plants'!D:D,'AP Plants'!B:B)</f>
        <v>Class 3</v>
      </c>
      <c r="AG516" s="102">
        <f>AD516*'Currency &amp; Conversion'!$L$6</f>
        <v>954.61565973422239</v>
      </c>
      <c r="AH516" s="102"/>
      <c r="AI516" s="44">
        <v>1.4999999999999999E-2</v>
      </c>
      <c r="AJ516" s="15">
        <f>_xlfn.XLOOKUP($AF516,Warranty!B:B,Warranty!E:E)</f>
        <v>1.4999999999999999E-2</v>
      </c>
      <c r="AK516" s="8">
        <f>IF($I516="AUD",VLOOKUP(RIGHT('Wk - Margins'!$G516,3),'AU Freight'!C:G,5,0),0)</f>
        <v>100</v>
      </c>
      <c r="AL516" s="15">
        <f t="shared" si="165"/>
        <v>0</v>
      </c>
      <c r="AM516" s="61">
        <f t="shared" si="163"/>
        <v>1083.254129526249</v>
      </c>
      <c r="AN516" s="63">
        <f t="shared" si="166"/>
        <v>0.15563392142436872</v>
      </c>
      <c r="AQ516" s="147"/>
    </row>
    <row r="517" spans="1:43">
      <c r="A517" s="10" t="str">
        <f>'Input - Bookings'!A517</f>
        <v>10-27</v>
      </c>
      <c r="B517" s="11" t="str">
        <f>'Input - Bookings'!C517</f>
        <v>P</v>
      </c>
      <c r="C517" s="11" t="str">
        <f>'Input - Bookings'!H517</f>
        <v>AU</v>
      </c>
      <c r="D517" s="24" t="str">
        <f>'Input - Bookings'!E517</f>
        <v>065</v>
      </c>
      <c r="E517" s="24" t="str">
        <f>'Input - Bookings'!G517</f>
        <v>ADAPT-A-LIFT GROUP (WA)</v>
      </c>
      <c r="F517" s="146" t="str">
        <f>'Input - Bookings'!I517</f>
        <v>H68591</v>
      </c>
      <c r="G517" s="24" t="str">
        <f>'Input - Bookings'!L517</f>
        <v>A6W9</v>
      </c>
      <c r="H517" s="24" t="str">
        <f>'Input - Bookings'!M517</f>
        <v>PC1.5</v>
      </c>
      <c r="I517" s="24" t="str">
        <f>'Input - Bookings'!B517</f>
        <v>AUD</v>
      </c>
      <c r="J517" s="13" t="str">
        <f>IF(I517="USD",INDEX('AP Plants'!A:A,MATCH(G517,'AP Plants'!D:D,0)),INDEX('Australia Plants'!A:A,MATCH(G517,'Australia Plants'!D:D,0)))</f>
        <v>Staxx</v>
      </c>
      <c r="K517" s="73">
        <v>1</v>
      </c>
      <c r="L517" s="97">
        <v>2140</v>
      </c>
      <c r="M517" s="97">
        <v>1282.92</v>
      </c>
      <c r="N517" s="99">
        <v>0.15563392142436872</v>
      </c>
      <c r="O517" s="25">
        <f t="shared" si="157"/>
        <v>0.40050467289719627</v>
      </c>
      <c r="P517" s="14">
        <f>IFERROR(IF(OR(B517&amp;C517="PAU",B517&amp;C517="AIN"),VLOOKUP(B517&amp;C517&amp;G517,#REF!,8,0),VLOOKUP(B517&amp;G517,#REF!,8,0)),0)</f>
        <v>0</v>
      </c>
      <c r="Q517" s="15">
        <f t="shared" si="158"/>
        <v>0.15563392142436872</v>
      </c>
      <c r="R517" s="16" t="str">
        <f t="shared" si="159"/>
        <v>AOP</v>
      </c>
      <c r="S517" s="17">
        <f t="shared" si="155"/>
        <v>199.66587047375111</v>
      </c>
      <c r="T517" s="18" t="e">
        <f t="shared" si="160"/>
        <v>#DIV/0!</v>
      </c>
      <c r="U517" s="23" t="e">
        <f t="shared" si="164"/>
        <v>#DIV/0!</v>
      </c>
      <c r="Y517" s="8" t="str">
        <f t="shared" si="161"/>
        <v>PAUH68591PC1.5</v>
      </c>
      <c r="Z517" s="8" t="str">
        <f>IF(Y517='Input - Bookings'!Q750,"OK","Check")</f>
        <v>Check</v>
      </c>
      <c r="AA517" s="118"/>
      <c r="AB517" s="103"/>
      <c r="AC517" s="103"/>
      <c r="AD517" s="100">
        <f t="shared" si="162"/>
        <v>641.02582576834698</v>
      </c>
      <c r="AE517" s="100"/>
      <c r="AF517" s="8" t="str">
        <f t="array" ref="AF517">_xlfn.XLOOKUP($G517,'AP Plants'!D:D,'AP Plants'!B:B)</f>
        <v>Class 3</v>
      </c>
      <c r="AG517" s="102">
        <f>AD517*'Currency &amp; Conversion'!$L$6</f>
        <v>954.61565973422239</v>
      </c>
      <c r="AH517" s="102"/>
      <c r="AI517" s="44">
        <v>1.4999999999999999E-2</v>
      </c>
      <c r="AJ517" s="15">
        <f>_xlfn.XLOOKUP($AF517,Warranty!B:B,Warranty!E:E)</f>
        <v>1.4999999999999999E-2</v>
      </c>
      <c r="AK517" s="8">
        <f>IF($I517="AUD",VLOOKUP(RIGHT('Wk - Margins'!$G517,3),'AU Freight'!C:G,5,0),0)</f>
        <v>100</v>
      </c>
      <c r="AL517" s="15">
        <f t="shared" si="165"/>
        <v>0</v>
      </c>
      <c r="AM517" s="61">
        <f t="shared" si="163"/>
        <v>1083.254129526249</v>
      </c>
      <c r="AN517" s="63">
        <f t="shared" si="166"/>
        <v>0.15563392142436872</v>
      </c>
      <c r="AQ517" s="147"/>
    </row>
    <row r="518" spans="1:43">
      <c r="A518" s="10" t="str">
        <f>'Input - Bookings'!A518</f>
        <v>10-27</v>
      </c>
      <c r="B518" s="11" t="str">
        <f>'Input - Bookings'!C518</f>
        <v>P</v>
      </c>
      <c r="C518" s="11" t="str">
        <f>'Input - Bookings'!H518</f>
        <v>AU</v>
      </c>
      <c r="D518" s="24" t="str">
        <f>'Input - Bookings'!E518</f>
        <v>065</v>
      </c>
      <c r="E518" s="24" t="str">
        <f>'Input - Bookings'!G518</f>
        <v>ADAPT-A-LIFT GROUP (WA)</v>
      </c>
      <c r="F518" s="146" t="str">
        <f>'Input - Bookings'!I518</f>
        <v>H68593</v>
      </c>
      <c r="G518" s="24" t="str">
        <f>'Input - Bookings'!L518</f>
        <v>A6W9</v>
      </c>
      <c r="H518" s="24" t="str">
        <f>'Input - Bookings'!M518</f>
        <v>PC1.5</v>
      </c>
      <c r="I518" s="24" t="str">
        <f>'Input - Bookings'!B518</f>
        <v>AUD</v>
      </c>
      <c r="J518" s="13" t="str">
        <f>IF(I518="USD",INDEX('AP Plants'!A:A,MATCH(G518,'AP Plants'!D:D,0)),INDEX('Australia Plants'!A:A,MATCH(G518,'Australia Plants'!D:D,0)))</f>
        <v>Staxx</v>
      </c>
      <c r="K518" s="73">
        <v>1</v>
      </c>
      <c r="L518" s="97">
        <v>2140</v>
      </c>
      <c r="M518" s="97">
        <v>1282.92</v>
      </c>
      <c r="N518" s="99">
        <v>0.15563392142436872</v>
      </c>
      <c r="O518" s="25">
        <f t="shared" si="157"/>
        <v>0.40050467289719627</v>
      </c>
      <c r="P518" s="14">
        <f>IFERROR(IF(OR(B518&amp;C518="PAU",B518&amp;C518="AIN"),VLOOKUP(B518&amp;C518&amp;G518,#REF!,8,0),VLOOKUP(B518&amp;G518,#REF!,8,0)),0)</f>
        <v>0</v>
      </c>
      <c r="Q518" s="15">
        <f t="shared" si="158"/>
        <v>0.15563392142436872</v>
      </c>
      <c r="R518" s="16" t="str">
        <f t="shared" si="159"/>
        <v>AOP</v>
      </c>
      <c r="S518" s="17">
        <f t="shared" si="155"/>
        <v>199.66587047375111</v>
      </c>
      <c r="T518" s="18" t="e">
        <f t="shared" si="160"/>
        <v>#DIV/0!</v>
      </c>
      <c r="U518" s="23" t="e">
        <f t="shared" si="164"/>
        <v>#DIV/0!</v>
      </c>
      <c r="Y518" s="8" t="str">
        <f t="shared" si="161"/>
        <v>PAUH68593PC1.5</v>
      </c>
      <c r="Z518" s="8" t="str">
        <f>IF(Y518='Input - Bookings'!Q751,"OK","Check")</f>
        <v>Check</v>
      </c>
      <c r="AA518" s="118"/>
      <c r="AB518" s="103"/>
      <c r="AC518" s="103"/>
      <c r="AD518" s="100">
        <f t="shared" si="162"/>
        <v>641.02582576834698</v>
      </c>
      <c r="AE518" s="100"/>
      <c r="AF518" s="8" t="str">
        <f t="array" ref="AF518">_xlfn.XLOOKUP($G518,'AP Plants'!D:D,'AP Plants'!B:B)</f>
        <v>Class 3</v>
      </c>
      <c r="AG518" s="102">
        <f>AD518*'Currency &amp; Conversion'!$L$6</f>
        <v>954.61565973422239</v>
      </c>
      <c r="AH518" s="102"/>
      <c r="AI518" s="44">
        <v>1.4999999999999999E-2</v>
      </c>
      <c r="AJ518" s="15">
        <f>_xlfn.XLOOKUP($AF518,Warranty!B:B,Warranty!E:E)</f>
        <v>1.4999999999999999E-2</v>
      </c>
      <c r="AK518" s="8">
        <f>IF($I518="AUD",VLOOKUP(RIGHT('Wk - Margins'!$G518,3),'AU Freight'!C:G,5,0),0)</f>
        <v>100</v>
      </c>
      <c r="AL518" s="15">
        <f t="shared" si="165"/>
        <v>0</v>
      </c>
      <c r="AM518" s="61">
        <f t="shared" si="163"/>
        <v>1083.254129526249</v>
      </c>
      <c r="AN518" s="63">
        <f t="shared" si="166"/>
        <v>0.15563392142436872</v>
      </c>
      <c r="AQ518" s="147"/>
    </row>
    <row r="519" spans="1:43">
      <c r="A519" s="10" t="str">
        <f>'Input - Bookings'!A519</f>
        <v>10-27</v>
      </c>
      <c r="B519" s="11" t="str">
        <f>'Input - Bookings'!C519</f>
        <v>P</v>
      </c>
      <c r="C519" s="11" t="str">
        <f>'Input - Bookings'!H519</f>
        <v>AU</v>
      </c>
      <c r="D519" s="24" t="str">
        <f>'Input - Bookings'!E519</f>
        <v>065</v>
      </c>
      <c r="E519" s="24" t="str">
        <f>'Input - Bookings'!G519</f>
        <v>ADAPT-A-LIFT GROUP (WA)</v>
      </c>
      <c r="F519" s="146" t="str">
        <f>'Input - Bookings'!I519</f>
        <v>H68595</v>
      </c>
      <c r="G519" s="24" t="str">
        <f>'Input - Bookings'!L519</f>
        <v>A6W9</v>
      </c>
      <c r="H519" s="24" t="str">
        <f>'Input - Bookings'!M519</f>
        <v>PC1.5</v>
      </c>
      <c r="I519" s="24" t="str">
        <f>'Input - Bookings'!B519</f>
        <v>AUD</v>
      </c>
      <c r="J519" s="13" t="str">
        <f>IF(I519="USD",INDEX('AP Plants'!A:A,MATCH(G519,'AP Plants'!D:D,0)),INDEX('Australia Plants'!A:A,MATCH(G519,'Australia Plants'!D:D,0)))</f>
        <v>Staxx</v>
      </c>
      <c r="K519" s="73">
        <v>1</v>
      </c>
      <c r="L519" s="97">
        <v>2140</v>
      </c>
      <c r="M519" s="97">
        <v>1282.92</v>
      </c>
      <c r="N519" s="99">
        <v>0.15563392142436872</v>
      </c>
      <c r="O519" s="25">
        <f t="shared" si="157"/>
        <v>0.40050467289719627</v>
      </c>
      <c r="P519" s="14">
        <f>IFERROR(IF(OR(B519&amp;C519="PAU",B519&amp;C519="AIN"),VLOOKUP(B519&amp;C519&amp;G519,#REF!,8,0),VLOOKUP(B519&amp;G519,#REF!,8,0)),0)</f>
        <v>0</v>
      </c>
      <c r="Q519" s="15">
        <f t="shared" si="158"/>
        <v>0.15563392142436872</v>
      </c>
      <c r="R519" s="16" t="str">
        <f t="shared" si="159"/>
        <v>AOP</v>
      </c>
      <c r="S519" s="17">
        <f t="shared" si="155"/>
        <v>199.66587047375111</v>
      </c>
      <c r="T519" s="18" t="e">
        <f t="shared" si="160"/>
        <v>#DIV/0!</v>
      </c>
      <c r="U519" s="23" t="e">
        <f t="shared" si="164"/>
        <v>#DIV/0!</v>
      </c>
      <c r="Y519" s="8" t="str">
        <f t="shared" si="161"/>
        <v>PAUH68595PC1.5</v>
      </c>
      <c r="Z519" s="8" t="str">
        <f>IF(Y519='Input - Bookings'!Q752,"OK","Check")</f>
        <v>Check</v>
      </c>
      <c r="AA519" s="118"/>
      <c r="AB519" s="103"/>
      <c r="AC519" s="103"/>
      <c r="AD519" s="100">
        <f t="shared" si="162"/>
        <v>641.02582576834698</v>
      </c>
      <c r="AE519" s="100"/>
      <c r="AF519" s="8" t="str">
        <f t="array" ref="AF519">_xlfn.XLOOKUP($G519,'AP Plants'!D:D,'AP Plants'!B:B)</f>
        <v>Class 3</v>
      </c>
      <c r="AG519" s="102">
        <f>AD519*'Currency &amp; Conversion'!$L$6</f>
        <v>954.61565973422239</v>
      </c>
      <c r="AH519" s="102"/>
      <c r="AI519" s="44">
        <v>1.4999999999999999E-2</v>
      </c>
      <c r="AJ519" s="15">
        <f>_xlfn.XLOOKUP($AF519,Warranty!B:B,Warranty!E:E)</f>
        <v>1.4999999999999999E-2</v>
      </c>
      <c r="AK519" s="8">
        <f>IF($I519="AUD",VLOOKUP(RIGHT('Wk - Margins'!$G519,3),'AU Freight'!C:G,5,0),0)</f>
        <v>100</v>
      </c>
      <c r="AL519" s="15">
        <f t="shared" si="165"/>
        <v>0</v>
      </c>
      <c r="AM519" s="61">
        <f t="shared" si="163"/>
        <v>1083.254129526249</v>
      </c>
      <c r="AN519" s="63">
        <f t="shared" si="166"/>
        <v>0.15563392142436872</v>
      </c>
      <c r="AQ519" s="147"/>
    </row>
    <row r="520" spans="1:43">
      <c r="A520" s="10" t="str">
        <f>'Input - Bookings'!A520</f>
        <v>10-27</v>
      </c>
      <c r="B520" s="11" t="str">
        <f>'Input - Bookings'!C520</f>
        <v>P</v>
      </c>
      <c r="C520" s="11" t="str">
        <f>'Input - Bookings'!H520</f>
        <v>AU</v>
      </c>
      <c r="D520" s="24" t="str">
        <f>'Input - Bookings'!E520</f>
        <v>065</v>
      </c>
      <c r="E520" s="24" t="str">
        <f>'Input - Bookings'!G520</f>
        <v>ADAPT-A-LIFT GROUP (WA)</v>
      </c>
      <c r="F520" s="146" t="str">
        <f>'Input - Bookings'!I520</f>
        <v>H68596</v>
      </c>
      <c r="G520" s="24" t="str">
        <f>'Input - Bookings'!L520</f>
        <v>A6W9</v>
      </c>
      <c r="H520" s="24" t="str">
        <f>'Input - Bookings'!M520</f>
        <v>PC1.5</v>
      </c>
      <c r="I520" s="24" t="str">
        <f>'Input - Bookings'!B520</f>
        <v>AUD</v>
      </c>
      <c r="J520" s="13" t="str">
        <f>IF(I520="USD",INDEX('AP Plants'!A:A,MATCH(G520,'AP Plants'!D:D,0)),INDEX('Australia Plants'!A:A,MATCH(G520,'Australia Plants'!D:D,0)))</f>
        <v>Staxx</v>
      </c>
      <c r="K520" s="73">
        <v>1</v>
      </c>
      <c r="L520" s="97">
        <v>2140</v>
      </c>
      <c r="M520" s="97">
        <v>1282.92</v>
      </c>
      <c r="N520" s="99">
        <v>0.15563392142436872</v>
      </c>
      <c r="O520" s="25">
        <f t="shared" si="157"/>
        <v>0.40050467289719627</v>
      </c>
      <c r="P520" s="14">
        <f>IFERROR(IF(OR(B520&amp;C520="PAU",B520&amp;C520="AIN"),VLOOKUP(B520&amp;C520&amp;G520,#REF!,8,0),VLOOKUP(B520&amp;G520,#REF!,8,0)),0)</f>
        <v>0</v>
      </c>
      <c r="Q520" s="15">
        <f t="shared" si="158"/>
        <v>0.15563392142436872</v>
      </c>
      <c r="R520" s="16" t="str">
        <f t="shared" si="159"/>
        <v>AOP</v>
      </c>
      <c r="S520" s="17">
        <f t="shared" si="155"/>
        <v>199.66587047375111</v>
      </c>
      <c r="T520" s="18" t="e">
        <f t="shared" si="160"/>
        <v>#DIV/0!</v>
      </c>
      <c r="U520" s="23" t="e">
        <f t="shared" si="164"/>
        <v>#DIV/0!</v>
      </c>
      <c r="Y520" s="8" t="str">
        <f t="shared" si="161"/>
        <v>PAUH68596PC1.5</v>
      </c>
      <c r="Z520" s="8" t="str">
        <f>IF(Y520='Input - Bookings'!Q753,"OK","Check")</f>
        <v>Check</v>
      </c>
      <c r="AA520" s="118"/>
      <c r="AB520" s="103"/>
      <c r="AC520" s="103"/>
      <c r="AD520" s="100">
        <f t="shared" si="162"/>
        <v>641.02582576834698</v>
      </c>
      <c r="AE520" s="100"/>
      <c r="AF520" s="8" t="str">
        <f t="array" ref="AF520">_xlfn.XLOOKUP($G520,'AP Plants'!D:D,'AP Plants'!B:B)</f>
        <v>Class 3</v>
      </c>
      <c r="AG520" s="102">
        <f>AD520*'Currency &amp; Conversion'!$L$6</f>
        <v>954.61565973422239</v>
      </c>
      <c r="AH520" s="102"/>
      <c r="AI520" s="44">
        <v>1.4999999999999999E-2</v>
      </c>
      <c r="AJ520" s="15">
        <f>_xlfn.XLOOKUP($AF520,Warranty!B:B,Warranty!E:E)</f>
        <v>1.4999999999999999E-2</v>
      </c>
      <c r="AK520" s="8">
        <f>IF($I520="AUD",VLOOKUP(RIGHT('Wk - Margins'!$G520,3),'AU Freight'!C:G,5,0),0)</f>
        <v>100</v>
      </c>
      <c r="AL520" s="15">
        <f t="shared" si="165"/>
        <v>0</v>
      </c>
      <c r="AM520" s="61">
        <f t="shared" si="163"/>
        <v>1083.254129526249</v>
      </c>
      <c r="AN520" s="63">
        <f t="shared" si="166"/>
        <v>0.15563392142436872</v>
      </c>
      <c r="AQ520" s="147"/>
    </row>
    <row r="521" spans="1:43">
      <c r="A521" s="10" t="str">
        <f>'Input - Bookings'!A521</f>
        <v>10-27</v>
      </c>
      <c r="B521" s="11" t="str">
        <f>'Input - Bookings'!C521</f>
        <v>P</v>
      </c>
      <c r="C521" s="11" t="str">
        <f>'Input - Bookings'!H521</f>
        <v>PF</v>
      </c>
      <c r="D521" s="24" t="str">
        <f>'Input - Bookings'!E521</f>
        <v>065</v>
      </c>
      <c r="E521" s="24" t="str">
        <f>'Input - Bookings'!G521</f>
        <v>SOPADEP SA</v>
      </c>
      <c r="F521" s="24" t="str">
        <f>'Input - Bookings'!I521</f>
        <v>H68790</v>
      </c>
      <c r="G521" s="24" t="str">
        <f>'Input - Bookings'!L521</f>
        <v>A3B8</v>
      </c>
      <c r="H521" s="24" t="str">
        <f>'Input - Bookings'!M521</f>
        <v>F3.5UT4</v>
      </c>
      <c r="I521" s="24" t="str">
        <f>'Input - Bookings'!B521</f>
        <v>USD</v>
      </c>
      <c r="J521" s="13" t="str">
        <f>IF(I521="USD",INDEX('AP Plants'!A:A,MATCH(G521,'AP Plants'!D:D,0)),INDEX('Australia Plants'!A:A,MATCH(G521,'Australia Plants'!D:D,0)))</f>
        <v>Maximal</v>
      </c>
      <c r="K521" s="73">
        <v>1</v>
      </c>
      <c r="L521" s="97">
        <v>32460</v>
      </c>
      <c r="M521" s="97">
        <v>23847</v>
      </c>
      <c r="N521" s="99">
        <v>0.32615748496676034</v>
      </c>
      <c r="O521" s="25">
        <f t="shared" si="157"/>
        <v>0.26534195933456561</v>
      </c>
      <c r="P521" s="14">
        <f>IFERROR(IF(OR(B521&amp;C521="PAU",B521&amp;C521="AIN"),VLOOKUP(B521&amp;C521&amp;G521,#REF!,8,0),VLOOKUP(B521&amp;G521,#REF!,8,0)),0)</f>
        <v>0</v>
      </c>
      <c r="Q521" s="15">
        <f t="shared" si="158"/>
        <v>0.32615748496676034</v>
      </c>
      <c r="R521" s="16" t="str">
        <f t="shared" si="159"/>
        <v>AOP</v>
      </c>
      <c r="S521" s="17">
        <f t="shared" ref="S521:S584" si="167">K521*M521*(N521-P521)</f>
        <v>7777.8775440023337</v>
      </c>
      <c r="T521" s="18">
        <f t="shared" si="160"/>
        <v>7777.8775440023337</v>
      </c>
      <c r="U521" s="23">
        <f t="shared" si="164"/>
        <v>23847</v>
      </c>
      <c r="Y521" s="8" t="str">
        <f t="shared" si="161"/>
        <v>PPFH68790F3.5UT4</v>
      </c>
      <c r="Z521" s="8" t="str">
        <f>IF(Y521='Input - Bookings'!Q754,"OK","Check")</f>
        <v>Check</v>
      </c>
      <c r="AA521" s="139"/>
      <c r="AB521" s="103"/>
      <c r="AC521" s="103"/>
      <c r="AD521" s="100">
        <v>15754.041623527128</v>
      </c>
      <c r="AE521" s="98"/>
      <c r="AF521" s="8" t="str">
        <f t="array" ref="AF521">_xlfn.XLOOKUP($G521,'AP Plants'!D:D,'AP Plants'!B:B)</f>
        <v>Class 5 NOT BT</v>
      </c>
      <c r="AG521" s="102"/>
      <c r="AH521" s="102">
        <f t="shared" ref="AH521:AH532" si="168">AD521</f>
        <v>15754.041623527128</v>
      </c>
      <c r="AI521" s="44">
        <v>1.4999999999999999E-2</v>
      </c>
      <c r="AJ521" s="15">
        <f>_xlfn.XLOOKUP($AF521,Warranty!B:B,Warranty!E:E)</f>
        <v>5.0000000000000001E-3</v>
      </c>
      <c r="AK521" s="8">
        <f>IF($I521="AUD",VLOOKUP(RIGHT('Wk - Margins'!$G521,3),'AU Freight'!C:G,5,0),0)</f>
        <v>0</v>
      </c>
      <c r="AL521" s="15">
        <f t="shared" si="165"/>
        <v>0</v>
      </c>
      <c r="AM521" s="61">
        <f t="shared" si="163"/>
        <v>16069.122455997667</v>
      </c>
      <c r="AN521" s="63">
        <f t="shared" si="166"/>
        <v>0.32615748496676034</v>
      </c>
      <c r="AQ521" s="147"/>
    </row>
    <row r="522" spans="1:43">
      <c r="A522" s="10" t="str">
        <f>'Input - Bookings'!A522</f>
        <v>10-27</v>
      </c>
      <c r="B522" s="11" t="str">
        <f>'Input - Bookings'!C522</f>
        <v>P</v>
      </c>
      <c r="C522" s="11" t="str">
        <f>'Input - Bookings'!H522</f>
        <v>PF</v>
      </c>
      <c r="D522" s="24" t="str">
        <f>'Input - Bookings'!E522</f>
        <v>065</v>
      </c>
      <c r="E522" s="24" t="str">
        <f>'Input - Bookings'!G522</f>
        <v>SOPADEP SA</v>
      </c>
      <c r="F522" s="24" t="str">
        <f>'Input - Bookings'!I522</f>
        <v>H68792</v>
      </c>
      <c r="G522" s="24" t="str">
        <f>'Input - Bookings'!L522</f>
        <v>A3B8</v>
      </c>
      <c r="H522" s="24" t="str">
        <f>'Input - Bookings'!M522</f>
        <v>F3.5UT4</v>
      </c>
      <c r="I522" s="24" t="str">
        <f>'Input - Bookings'!B522</f>
        <v>USD</v>
      </c>
      <c r="J522" s="13" t="str">
        <f>IF(I522="USD",INDEX('AP Plants'!A:A,MATCH(G522,'AP Plants'!D:D,0)),INDEX('Australia Plants'!A:A,MATCH(G522,'Australia Plants'!D:D,0)))</f>
        <v>Maximal</v>
      </c>
      <c r="K522" s="73">
        <v>1</v>
      </c>
      <c r="L522" s="97">
        <v>32460</v>
      </c>
      <c r="M522" s="97">
        <v>23847</v>
      </c>
      <c r="N522" s="99">
        <v>0.42333497887863358</v>
      </c>
      <c r="O522" s="25">
        <f t="shared" si="157"/>
        <v>0.26534195933456561</v>
      </c>
      <c r="P522" s="14">
        <f>IFERROR(IF(OR(B522&amp;C522="PAU",B522&amp;C522="AIN"),VLOOKUP(B522&amp;C522&amp;G522,#REF!,8,0),VLOOKUP(B522&amp;G522,#REF!,8,0)),0)</f>
        <v>0</v>
      </c>
      <c r="Q522" s="15">
        <f t="shared" si="158"/>
        <v>0.42333497887863358</v>
      </c>
      <c r="R522" s="16" t="str">
        <f t="shared" si="159"/>
        <v>AOP</v>
      </c>
      <c r="S522" s="17">
        <f t="shared" si="167"/>
        <v>10095.269241318774</v>
      </c>
      <c r="T522" s="18">
        <f t="shared" si="160"/>
        <v>10095.269241318774</v>
      </c>
      <c r="U522" s="23">
        <f t="shared" si="164"/>
        <v>23847</v>
      </c>
      <c r="Y522" s="8" t="str">
        <f t="shared" si="161"/>
        <v>PPFH68792F3.5UT4</v>
      </c>
      <c r="Z522" s="8" t="str">
        <f>IF(Y522='Input - Bookings'!Q755,"OK","Check")</f>
        <v>Check</v>
      </c>
      <c r="AA522" s="118"/>
      <c r="AB522" s="71"/>
      <c r="AC522" s="71"/>
      <c r="AD522" s="100">
        <v>13482.088979099242</v>
      </c>
      <c r="AE522" s="100"/>
      <c r="AF522" s="8" t="str">
        <f t="array" ref="AF522">_xlfn.XLOOKUP($G522,'AP Plants'!D:D,'AP Plants'!B:B)</f>
        <v>Class 5 NOT BT</v>
      </c>
      <c r="AG522" s="102"/>
      <c r="AH522" s="102">
        <f t="shared" si="168"/>
        <v>13482.088979099242</v>
      </c>
      <c r="AI522" s="44">
        <v>1.4999999999999999E-2</v>
      </c>
      <c r="AJ522" s="15">
        <f>_xlfn.XLOOKUP($AF522,Warranty!B:B,Warranty!E:E)</f>
        <v>5.0000000000000001E-3</v>
      </c>
      <c r="AK522" s="8">
        <f>IF($I522="AUD",VLOOKUP(RIGHT('Wk - Margins'!$G522,3),'AU Freight'!C:G,5,0),0)</f>
        <v>0</v>
      </c>
      <c r="AL522" s="15">
        <f t="shared" si="165"/>
        <v>0</v>
      </c>
      <c r="AM522" s="61">
        <f t="shared" si="163"/>
        <v>13751.730758681224</v>
      </c>
      <c r="AN522" s="63">
        <f t="shared" si="166"/>
        <v>0.42333497887863358</v>
      </c>
      <c r="AQ522" s="147"/>
    </row>
    <row r="523" spans="1:43">
      <c r="A523" s="10" t="str">
        <f>'Input - Bookings'!A523</f>
        <v>10-29</v>
      </c>
      <c r="B523" s="11" t="str">
        <f>'Input - Bookings'!C523</f>
        <v>P</v>
      </c>
      <c r="C523" s="11" t="str">
        <f>'Input - Bookings'!H523</f>
        <v>NZ</v>
      </c>
      <c r="D523" s="24" t="str">
        <f>'Input - Bookings'!E523</f>
        <v>067</v>
      </c>
      <c r="E523" s="24" t="str">
        <f>'Input - Bookings'!G523</f>
        <v>S.G EQUIPMENT LTD</v>
      </c>
      <c r="F523" s="24" t="str">
        <f>'Input - Bookings'!I523</f>
        <v>H68828</v>
      </c>
      <c r="G523" s="24" t="str">
        <f>'Input - Bookings'!L523</f>
        <v>C881</v>
      </c>
      <c r="H523" s="24" t="str">
        <f>'Input - Bookings'!M523</f>
        <v>FB25RZ</v>
      </c>
      <c r="I523" s="24" t="str">
        <f>'Input - Bookings'!B523</f>
        <v>USD</v>
      </c>
      <c r="J523" s="13" t="str">
        <f>IF(I523="USD",INDEX('AP Plants'!A:A,MATCH(G523,'AP Plants'!D:D,0)),INDEX('Australia Plants'!A:A,MATCH(G523,'Australia Plants'!D:D,0)))</f>
        <v>SN</v>
      </c>
      <c r="K523" s="73">
        <v>1</v>
      </c>
      <c r="L523" s="97">
        <v>39160</v>
      </c>
      <c r="M523" s="97">
        <v>27308.67</v>
      </c>
      <c r="N523" s="99">
        <v>0.30674789533920932</v>
      </c>
      <c r="O523" s="25">
        <f t="shared" si="157"/>
        <v>0.30263866189989785</v>
      </c>
      <c r="P523" s="14">
        <f>IFERROR(IF(OR(B523&amp;C523="PAU",B523&amp;C523="AIN"),VLOOKUP(B523&amp;C523&amp;G523,#REF!,8,0),VLOOKUP(B523&amp;G523,#REF!,8,0)),0)</f>
        <v>0</v>
      </c>
      <c r="Q523" s="15">
        <f t="shared" si="158"/>
        <v>0.30674789533920932</v>
      </c>
      <c r="R523" s="16" t="str">
        <f t="shared" si="159"/>
        <v>AOP</v>
      </c>
      <c r="S523" s="17">
        <f t="shared" si="167"/>
        <v>8376.8770470130057</v>
      </c>
      <c r="T523" s="18">
        <f t="shared" si="160"/>
        <v>8376.8770470130057</v>
      </c>
      <c r="U523" s="23">
        <f t="shared" si="164"/>
        <v>27308.67</v>
      </c>
      <c r="Y523" s="8" t="str">
        <f t="shared" si="161"/>
        <v>PNZH68828FB25RZ</v>
      </c>
      <c r="Z523" s="8" t="str">
        <f>IF(Y523='Input - Bookings'!Q756,"OK","Check")</f>
        <v>Check</v>
      </c>
      <c r="AA523" s="139" t="s">
        <v>1702</v>
      </c>
      <c r="AB523" s="71"/>
      <c r="AC523" s="71"/>
      <c r="AD523" s="100">
        <v>18560.581326457843</v>
      </c>
      <c r="AE523" s="98"/>
      <c r="AF523" s="8" t="str">
        <f t="array" ref="AF523">_xlfn.XLOOKUP($G523,'AP Plants'!D:D,'AP Plants'!B:B)</f>
        <v>Class 1</v>
      </c>
      <c r="AG523" s="102"/>
      <c r="AH523" s="102">
        <f t="shared" si="168"/>
        <v>18560.581326457843</v>
      </c>
      <c r="AI523" s="44">
        <v>1.4999999999999999E-2</v>
      </c>
      <c r="AJ523" s="15">
        <f>_xlfn.XLOOKUP($AF523,Warranty!B:B,Warranty!E:E)</f>
        <v>5.0000000000000001E-3</v>
      </c>
      <c r="AK523" s="8">
        <f>IF($I523="AUD",VLOOKUP(RIGHT('Wk - Margins'!$G523,3),'AU Freight'!C:G,5,0),0)</f>
        <v>0</v>
      </c>
      <c r="AL523" s="15">
        <f t="shared" si="165"/>
        <v>0</v>
      </c>
      <c r="AM523" s="61">
        <f t="shared" si="163"/>
        <v>18931.792952986994</v>
      </c>
      <c r="AN523" s="63">
        <f t="shared" si="166"/>
        <v>0.30674789533920932</v>
      </c>
      <c r="AQ523" s="147"/>
    </row>
    <row r="524" spans="1:43">
      <c r="A524" s="10" t="str">
        <f>'Input - Bookings'!A524</f>
        <v>10-29</v>
      </c>
      <c r="B524" s="11" t="str">
        <f>'Input - Bookings'!C524</f>
        <v>P</v>
      </c>
      <c r="C524" s="11" t="str">
        <f>'Input - Bookings'!H524</f>
        <v>NZ</v>
      </c>
      <c r="D524" s="24" t="str">
        <f>'Input - Bookings'!E524</f>
        <v>067</v>
      </c>
      <c r="E524" s="24" t="str">
        <f>'Input - Bookings'!G524</f>
        <v>S.G EQUIPMENT LTD</v>
      </c>
      <c r="F524" s="24" t="str">
        <f>'Input - Bookings'!I524</f>
        <v>H68829</v>
      </c>
      <c r="G524" s="24" t="str">
        <f>'Input - Bookings'!L524</f>
        <v>C881</v>
      </c>
      <c r="H524" s="24" t="str">
        <f>'Input - Bookings'!M524</f>
        <v>FB30RZ</v>
      </c>
      <c r="I524" s="24" t="str">
        <f>'Input - Bookings'!B524</f>
        <v>USD</v>
      </c>
      <c r="J524" s="13" t="str">
        <f>IF(I524="USD",INDEX('AP Plants'!A:A,MATCH(G524,'AP Plants'!D:D,0)),INDEX('Australia Plants'!A:A,MATCH(G524,'Australia Plants'!D:D,0)))</f>
        <v>SN</v>
      </c>
      <c r="K524" s="73">
        <v>1</v>
      </c>
      <c r="L524" s="97">
        <v>44830</v>
      </c>
      <c r="M524" s="97">
        <v>31131.73</v>
      </c>
      <c r="N524" s="99">
        <v>0.30820378398418924</v>
      </c>
      <c r="O524" s="25">
        <f t="shared" si="157"/>
        <v>0.30556033905866609</v>
      </c>
      <c r="P524" s="14">
        <f>IFERROR(IF(OR(B524&amp;C524="PAU",B524&amp;C524="AIN"),VLOOKUP(B524&amp;C524&amp;G524,#REF!,8,0),VLOOKUP(B524&amp;G524,#REF!,8,0)),0)</f>
        <v>0</v>
      </c>
      <c r="Q524" s="15">
        <f t="shared" si="158"/>
        <v>0.30820378398418924</v>
      </c>
      <c r="R524" s="16" t="str">
        <f t="shared" si="159"/>
        <v>AOP</v>
      </c>
      <c r="S524" s="17">
        <f t="shared" si="167"/>
        <v>9594.9169879741039</v>
      </c>
      <c r="T524" s="18">
        <f t="shared" si="160"/>
        <v>9594.9169879741039</v>
      </c>
      <c r="U524" s="23">
        <f t="shared" si="164"/>
        <v>31131.73</v>
      </c>
      <c r="Y524" s="8" t="str">
        <f t="shared" si="161"/>
        <v>PNZH68829FB30RZ</v>
      </c>
      <c r="Z524" s="8" t="str">
        <f>IF(Y524='Input - Bookings'!Q757,"OK","Check")</f>
        <v>Check</v>
      </c>
      <c r="AA524" s="139" t="s">
        <v>1702</v>
      </c>
      <c r="AB524" s="71"/>
      <c r="AC524" s="71"/>
      <c r="AD524" s="100">
        <v>21114.522560809706</v>
      </c>
      <c r="AE524" s="98"/>
      <c r="AF524" s="8" t="str">
        <f t="array" ref="AF524">_xlfn.XLOOKUP($G524,'AP Plants'!D:D,'AP Plants'!B:B)</f>
        <v>Class 1</v>
      </c>
      <c r="AG524" s="102"/>
      <c r="AH524" s="102">
        <f t="shared" si="168"/>
        <v>21114.522560809706</v>
      </c>
      <c r="AI524" s="44">
        <v>1.4999999999999999E-2</v>
      </c>
      <c r="AJ524" s="15">
        <f>_xlfn.XLOOKUP($AF524,Warranty!B:B,Warranty!E:E)</f>
        <v>5.0000000000000001E-3</v>
      </c>
      <c r="AK524" s="8">
        <f>IF($I524="AUD",VLOOKUP(RIGHT('Wk - Margins'!$G524,3),'AU Freight'!C:G,5,0),0)</f>
        <v>0</v>
      </c>
      <c r="AL524" s="15">
        <f t="shared" si="165"/>
        <v>0</v>
      </c>
      <c r="AM524" s="61">
        <f t="shared" si="163"/>
        <v>21536.813012025897</v>
      </c>
      <c r="AN524" s="63">
        <f t="shared" si="166"/>
        <v>0.30820378398418924</v>
      </c>
      <c r="AQ524" s="147"/>
    </row>
    <row r="525" spans="1:43">
      <c r="A525" s="10" t="str">
        <f>'Input - Bookings'!A525</f>
        <v>10-29</v>
      </c>
      <c r="B525" s="11" t="str">
        <f>'Input - Bookings'!C525</f>
        <v>P</v>
      </c>
      <c r="C525" s="11" t="str">
        <f>'Input - Bookings'!H525</f>
        <v>NZ</v>
      </c>
      <c r="D525" s="24" t="str">
        <f>'Input - Bookings'!E525</f>
        <v>067</v>
      </c>
      <c r="E525" s="24" t="str">
        <f>'Input - Bookings'!G525</f>
        <v>S.G EQUIPMENT LTD</v>
      </c>
      <c r="F525" s="24" t="str">
        <f>'Input - Bookings'!I525</f>
        <v>H68830</v>
      </c>
      <c r="G525" s="24" t="str">
        <f>'Input - Bookings'!L525</f>
        <v>D871</v>
      </c>
      <c r="H525" s="24" t="str">
        <f>'Input - Bookings'!M525</f>
        <v>GP30MX</v>
      </c>
      <c r="I525" s="24" t="str">
        <f>'Input - Bookings'!B525</f>
        <v>USD</v>
      </c>
      <c r="J525" s="13" t="str">
        <f>IF(I525="USD",INDEX('AP Plants'!A:A,MATCH(G525,'AP Plants'!D:D,0)),INDEX('Australia Plants'!A:A,MATCH(G525,'Australia Plants'!D:D,0)))</f>
        <v>SN</v>
      </c>
      <c r="K525" s="73">
        <v>1</v>
      </c>
      <c r="L525" s="97">
        <v>37985</v>
      </c>
      <c r="M525" s="97">
        <v>21818.5</v>
      </c>
      <c r="N525" s="99">
        <v>0.13449430813612917</v>
      </c>
      <c r="O525" s="25">
        <f t="shared" si="157"/>
        <v>0.42560221139923649</v>
      </c>
      <c r="P525" s="14">
        <f>IFERROR(IF(OR(B525&amp;C525="PAU",B525&amp;C525="AIN"),VLOOKUP(B525&amp;C525&amp;G525,#REF!,8,0),VLOOKUP(B525&amp;G525,#REF!,8,0)),0)</f>
        <v>0</v>
      </c>
      <c r="Q525" s="15">
        <f t="shared" si="158"/>
        <v>0.13449430813612917</v>
      </c>
      <c r="R525" s="16" t="str">
        <f t="shared" si="159"/>
        <v>AOP</v>
      </c>
      <c r="S525" s="17">
        <f t="shared" si="167"/>
        <v>2934.4640620681344</v>
      </c>
      <c r="T525" s="18">
        <f t="shared" si="160"/>
        <v>2934.4640620681344</v>
      </c>
      <c r="U525" s="23">
        <f t="shared" si="164"/>
        <v>21818.5</v>
      </c>
      <c r="Y525" s="8" t="str">
        <f t="shared" si="161"/>
        <v>PNZH68830GP30MX</v>
      </c>
      <c r="Z525" s="8" t="str">
        <f>IF(Y525='Input - Bookings'!Q758,"OK","Check")</f>
        <v>Check</v>
      </c>
      <c r="AA525" s="118"/>
      <c r="AB525" s="71"/>
      <c r="AC525" s="71"/>
      <c r="AD525" s="100">
        <v>18513.760723462616</v>
      </c>
      <c r="AE525" s="98"/>
      <c r="AF525" s="8" t="str">
        <f t="array" ref="AF525">_xlfn.XLOOKUP($G525,'AP Plants'!D:D,'AP Plants'!B:B)</f>
        <v>Class 5 NOT BT</v>
      </c>
      <c r="AG525" s="102"/>
      <c r="AH525" s="102">
        <f t="shared" si="168"/>
        <v>18513.760723462616</v>
      </c>
      <c r="AI525" s="44">
        <v>1.4999999999999999E-2</v>
      </c>
      <c r="AJ525" s="15">
        <f>_xlfn.XLOOKUP($AF525,Warranty!B:B,Warranty!E:E)</f>
        <v>5.0000000000000001E-3</v>
      </c>
      <c r="AK525" s="8">
        <f>IF($I525="AUD",VLOOKUP(RIGHT('Wk - Margins'!$G525,3),'AU Freight'!C:G,5,0),0)</f>
        <v>0</v>
      </c>
      <c r="AL525" s="15">
        <f t="shared" si="165"/>
        <v>0</v>
      </c>
      <c r="AM525" s="61">
        <f t="shared" si="163"/>
        <v>18884.035937931865</v>
      </c>
      <c r="AN525" s="63">
        <f t="shared" si="166"/>
        <v>0.13449430813612917</v>
      </c>
      <c r="AQ525" s="147"/>
    </row>
    <row r="526" spans="1:43">
      <c r="A526" s="10" t="str">
        <f>'Input - Bookings'!A526</f>
        <v>10-29</v>
      </c>
      <c r="B526" s="11" t="str">
        <f>'Input - Bookings'!C526</f>
        <v>P</v>
      </c>
      <c r="C526" s="11" t="str">
        <f>'Input - Bookings'!H526</f>
        <v>NZ</v>
      </c>
      <c r="D526" s="24" t="str">
        <f>'Input - Bookings'!E526</f>
        <v>067</v>
      </c>
      <c r="E526" s="24" t="str">
        <f>'Input - Bookings'!G526</f>
        <v>S.G EQUIPMENT LTD</v>
      </c>
      <c r="F526" s="24" t="str">
        <f>'Input - Bookings'!I526</f>
        <v>H68831</v>
      </c>
      <c r="G526" s="24" t="str">
        <f>'Input - Bookings'!L526</f>
        <v>D871</v>
      </c>
      <c r="H526" s="24" t="str">
        <f>'Input - Bookings'!M526</f>
        <v>GP25MX</v>
      </c>
      <c r="I526" s="24" t="str">
        <f>'Input - Bookings'!B526</f>
        <v>USD</v>
      </c>
      <c r="J526" s="13" t="str">
        <f>IF(I526="USD",INDEX('AP Plants'!A:A,MATCH(G526,'AP Plants'!D:D,0)),INDEX('Australia Plants'!A:A,MATCH(G526,'Australia Plants'!D:D,0)))</f>
        <v>SN</v>
      </c>
      <c r="K526" s="73">
        <v>1</v>
      </c>
      <c r="L526" s="97">
        <v>37110</v>
      </c>
      <c r="M526" s="97">
        <v>22894.39</v>
      </c>
      <c r="N526" s="99">
        <v>0.20720584873358361</v>
      </c>
      <c r="O526" s="25">
        <f t="shared" si="157"/>
        <v>0.3830668283481542</v>
      </c>
      <c r="P526" s="14">
        <f>IFERROR(IF(OR(B526&amp;C526="PAU",B526&amp;C526="AIN"),VLOOKUP(B526&amp;C526&amp;G526,#REF!,8,0),VLOOKUP(B526&amp;G526,#REF!,8,0)),0)</f>
        <v>0</v>
      </c>
      <c r="Q526" s="15">
        <f t="shared" si="158"/>
        <v>0.20720584873358361</v>
      </c>
      <c r="R526" s="16" t="str">
        <f t="shared" si="159"/>
        <v>AOP</v>
      </c>
      <c r="S526" s="17">
        <f t="shared" si="167"/>
        <v>4743.8515111876695</v>
      </c>
      <c r="T526" s="18">
        <f t="shared" si="160"/>
        <v>4743.8515111876695</v>
      </c>
      <c r="U526" s="23">
        <f t="shared" si="164"/>
        <v>22894.39</v>
      </c>
      <c r="Y526" s="8" t="str">
        <f t="shared" si="161"/>
        <v>PNZH68831GP25MX</v>
      </c>
      <c r="Z526" s="8" t="str">
        <f>IF(Y526='Input - Bookings'!Q759,"OK","Check")</f>
        <v>Check</v>
      </c>
      <c r="AA526" s="118"/>
      <c r="AB526" s="71"/>
      <c r="AC526" s="71"/>
      <c r="AD526" s="100">
        <v>17794.645577266994</v>
      </c>
      <c r="AE526" s="98"/>
      <c r="AF526" s="8" t="str">
        <f t="array" ref="AF526">_xlfn.XLOOKUP($G526,'AP Plants'!D:D,'AP Plants'!B:B)</f>
        <v>Class 5 NOT BT</v>
      </c>
      <c r="AG526" s="102"/>
      <c r="AH526" s="102">
        <f t="shared" si="168"/>
        <v>17794.645577266994</v>
      </c>
      <c r="AI526" s="44">
        <v>1.4999999999999999E-2</v>
      </c>
      <c r="AJ526" s="15">
        <f>_xlfn.XLOOKUP($AF526,Warranty!B:B,Warranty!E:E)</f>
        <v>5.0000000000000001E-3</v>
      </c>
      <c r="AK526" s="8">
        <f>IF($I526="AUD",VLOOKUP(RIGHT('Wk - Margins'!$G526,3),'AU Freight'!C:G,5,0),0)</f>
        <v>0</v>
      </c>
      <c r="AL526" s="15">
        <f t="shared" si="165"/>
        <v>0</v>
      </c>
      <c r="AM526" s="61">
        <f t="shared" si="163"/>
        <v>18150.53848881233</v>
      </c>
      <c r="AN526" s="63">
        <f t="shared" si="166"/>
        <v>0.20720584873358361</v>
      </c>
      <c r="AQ526" s="147"/>
    </row>
    <row r="527" spans="1:43">
      <c r="A527" s="10" t="str">
        <f>'Input - Bookings'!A527</f>
        <v>10-29</v>
      </c>
      <c r="B527" s="11" t="str">
        <f>'Input - Bookings'!C527</f>
        <v>P</v>
      </c>
      <c r="C527" s="11" t="str">
        <f>'Input - Bookings'!H527</f>
        <v>NZ</v>
      </c>
      <c r="D527" s="24" t="str">
        <f>'Input - Bookings'!E527</f>
        <v>067</v>
      </c>
      <c r="E527" s="24" t="str">
        <f>'Input - Bookings'!G527</f>
        <v>S.G EQUIPMENT LTD</v>
      </c>
      <c r="F527" s="24" t="str">
        <f>'Input - Bookings'!I527</f>
        <v>H68832</v>
      </c>
      <c r="G527" s="24" t="str">
        <f>'Input - Bookings'!L527</f>
        <v>D871</v>
      </c>
      <c r="H527" s="24" t="str">
        <f>'Input - Bookings'!M527</f>
        <v>GP25MX</v>
      </c>
      <c r="I527" s="24" t="str">
        <f>'Input - Bookings'!B527</f>
        <v>USD</v>
      </c>
      <c r="J527" s="13" t="str">
        <f>IF(I527="USD",INDEX('AP Plants'!A:A,MATCH(G527,'AP Plants'!D:D,0)),INDEX('Australia Plants'!A:A,MATCH(G527,'Australia Plants'!D:D,0)))</f>
        <v>SN</v>
      </c>
      <c r="K527" s="73">
        <v>1</v>
      </c>
      <c r="L527" s="97">
        <v>35360</v>
      </c>
      <c r="M527" s="97">
        <v>21590.639999999999</v>
      </c>
      <c r="N527" s="99">
        <v>0.18947033808639835</v>
      </c>
      <c r="O527" s="25">
        <f t="shared" si="157"/>
        <v>0.38940497737556568</v>
      </c>
      <c r="P527" s="14">
        <f>IFERROR(IF(OR(B527&amp;C527="PAU",B527&amp;C527="AIN"),VLOOKUP(B527&amp;C527&amp;G527,#REF!,8,0),VLOOKUP(B527&amp;G527,#REF!,8,0)),0)</f>
        <v>0</v>
      </c>
      <c r="Q527" s="15">
        <f t="shared" si="158"/>
        <v>0.18947033808639835</v>
      </c>
      <c r="R527" s="16" t="str">
        <f t="shared" si="159"/>
        <v>AOP</v>
      </c>
      <c r="S527" s="17">
        <f t="shared" si="167"/>
        <v>4090.7858603017157</v>
      </c>
      <c r="T527" s="18">
        <f t="shared" si="160"/>
        <v>4090.7858603017157</v>
      </c>
      <c r="U527" s="23">
        <f t="shared" si="164"/>
        <v>21590.639999999999</v>
      </c>
      <c r="Y527" s="8" t="str">
        <f t="shared" si="161"/>
        <v>PNZH68832GP25MX</v>
      </c>
      <c r="Z527" s="8" t="str">
        <f>IF(Y527='Input - Bookings'!Q760,"OK","Check")</f>
        <v>Check</v>
      </c>
      <c r="AA527" s="118"/>
      <c r="AB527" s="71"/>
      <c r="AC527" s="71"/>
      <c r="AD527" s="100">
        <v>17156.719744802242</v>
      </c>
      <c r="AE527" s="98"/>
      <c r="AF527" s="8" t="str">
        <f t="array" ref="AF527">_xlfn.XLOOKUP($G527,'AP Plants'!D:D,'AP Plants'!B:B)</f>
        <v>Class 5 NOT BT</v>
      </c>
      <c r="AG527" s="102"/>
      <c r="AH527" s="102">
        <f t="shared" si="168"/>
        <v>17156.719744802242</v>
      </c>
      <c r="AI527" s="44">
        <v>1.4999999999999999E-2</v>
      </c>
      <c r="AJ527" s="15">
        <f>_xlfn.XLOOKUP($AF527,Warranty!B:B,Warranty!E:E)</f>
        <v>5.0000000000000001E-3</v>
      </c>
      <c r="AK527" s="8">
        <f>IF($I527="AUD",VLOOKUP(RIGHT('Wk - Margins'!$G527,3),'AU Freight'!C:G,5,0),0)</f>
        <v>0</v>
      </c>
      <c r="AL527" s="15">
        <f t="shared" si="165"/>
        <v>0</v>
      </c>
      <c r="AM527" s="61">
        <f t="shared" si="163"/>
        <v>17499.854139698284</v>
      </c>
      <c r="AN527" s="63">
        <f t="shared" si="166"/>
        <v>0.18947033808639835</v>
      </c>
      <c r="AQ527" s="147"/>
    </row>
    <row r="528" spans="1:43">
      <c r="A528" s="10" t="str">
        <f>'Input - Bookings'!A528</f>
        <v>10-29</v>
      </c>
      <c r="B528" s="11" t="str">
        <f>'Input - Bookings'!C528</f>
        <v>P</v>
      </c>
      <c r="C528" s="11" t="str">
        <f>'Input - Bookings'!H528</f>
        <v>NZ</v>
      </c>
      <c r="D528" s="24" t="str">
        <f>'Input - Bookings'!E528</f>
        <v>065</v>
      </c>
      <c r="E528" s="24" t="str">
        <f>'Input - Bookings'!G528</f>
        <v>SIME DARBY TRANSPORT (NZ)</v>
      </c>
      <c r="F528" s="24" t="str">
        <f>'Input - Bookings'!I528</f>
        <v>H68833</v>
      </c>
      <c r="G528" s="24" t="str">
        <f>'Input - Bookings'!L528</f>
        <v>D475</v>
      </c>
      <c r="H528" s="24" t="str">
        <f>'Input - Bookings'!M528</f>
        <v>H1.8XT</v>
      </c>
      <c r="I528" s="24" t="str">
        <f>'Input - Bookings'!B528</f>
        <v>USD</v>
      </c>
      <c r="J528" s="13" t="str">
        <f>IF(I528="USD",INDEX('AP Plants'!A:A,MATCH(G528,'AP Plants'!D:D,0)),INDEX('Australia Plants'!A:A,MATCH(G528,'Australia Plants'!D:D,0)))</f>
        <v>SN</v>
      </c>
      <c r="K528" s="73">
        <v>1</v>
      </c>
      <c r="L528" s="97">
        <v>27000</v>
      </c>
      <c r="M528" s="97">
        <v>15893.39</v>
      </c>
      <c r="N528" s="99">
        <v>0.13475156913149278</v>
      </c>
      <c r="O528" s="25">
        <f t="shared" si="157"/>
        <v>0.41135592592592596</v>
      </c>
      <c r="P528" s="14">
        <f>IFERROR(IF(OR(B528&amp;C528="PAU",B528&amp;C528="AIN"),VLOOKUP(B528&amp;C528&amp;G528,#REF!,8,0),VLOOKUP(B528&amp;G528,#REF!,8,0)),0)</f>
        <v>0</v>
      </c>
      <c r="Q528" s="15">
        <f t="shared" si="158"/>
        <v>0.13475156913149278</v>
      </c>
      <c r="R528" s="16" t="str">
        <f t="shared" si="159"/>
        <v>AOP</v>
      </c>
      <c r="S528" s="17">
        <f t="shared" si="167"/>
        <v>2141.6592413187759</v>
      </c>
      <c r="T528" s="18">
        <f t="shared" si="160"/>
        <v>2141.6592413187759</v>
      </c>
      <c r="U528" s="23">
        <f t="shared" si="164"/>
        <v>15893.39</v>
      </c>
      <c r="Y528" s="8" t="str">
        <f t="shared" si="161"/>
        <v>PNZH68833H1.8XT</v>
      </c>
      <c r="Z528" s="8" t="str">
        <f>IF(Y528='Input - Bookings'!Q761,"OK","Check")</f>
        <v>Check</v>
      </c>
      <c r="AA528" s="118"/>
      <c r="AB528" s="71"/>
      <c r="AC528" s="71"/>
      <c r="AD528" s="100">
        <v>13482.088979099242</v>
      </c>
      <c r="AE528" s="100"/>
      <c r="AF528" s="8" t="str">
        <f t="array" ref="AF528">_xlfn.XLOOKUP($G528,'AP Plants'!D:D,'AP Plants'!B:B)</f>
        <v>Class 5 NOT BT</v>
      </c>
      <c r="AG528" s="102"/>
      <c r="AH528" s="102">
        <f t="shared" si="168"/>
        <v>13482.088979099242</v>
      </c>
      <c r="AI528" s="44">
        <v>1.4999999999999999E-2</v>
      </c>
      <c r="AJ528" s="15">
        <f>_xlfn.XLOOKUP($AF528,Warranty!B:B,Warranty!E:E)</f>
        <v>5.0000000000000001E-3</v>
      </c>
      <c r="AK528" s="8">
        <f>IF($I528="AUD",VLOOKUP(RIGHT('Wk - Margins'!$G528,3),'AU Freight'!C:G,5,0),0)</f>
        <v>0</v>
      </c>
      <c r="AL528" s="15">
        <f t="shared" si="165"/>
        <v>0</v>
      </c>
      <c r="AM528" s="61">
        <f t="shared" si="163"/>
        <v>13751.730758681224</v>
      </c>
      <c r="AN528" s="63">
        <f t="shared" si="166"/>
        <v>0.13475156913149278</v>
      </c>
      <c r="AQ528" s="147"/>
    </row>
    <row r="529" spans="1:43">
      <c r="A529" s="10" t="str">
        <f>'Input - Bookings'!A529</f>
        <v>10-29</v>
      </c>
      <c r="B529" s="11" t="str">
        <f>'Input - Bookings'!C529</f>
        <v>P</v>
      </c>
      <c r="C529" s="11" t="str">
        <f>'Input - Bookings'!H529</f>
        <v>NZ</v>
      </c>
      <c r="D529" s="24" t="str">
        <f>'Input - Bookings'!E529</f>
        <v>065</v>
      </c>
      <c r="E529" s="24" t="str">
        <f>'Input - Bookings'!G529</f>
        <v>SIME DARBY TRANSPORT (NZ)</v>
      </c>
      <c r="F529" s="24" t="str">
        <f>'Input - Bookings'!I529</f>
        <v>H68834</v>
      </c>
      <c r="G529" s="24" t="str">
        <f>'Input - Bookings'!L529</f>
        <v>A3B9</v>
      </c>
      <c r="H529" s="24" t="str">
        <f>'Input - Bookings'!M529</f>
        <v>F5.0UT</v>
      </c>
      <c r="I529" s="24" t="str">
        <f>'Input - Bookings'!B529</f>
        <v>USD</v>
      </c>
      <c r="J529" s="13" t="str">
        <f>IF(I529="USD",INDEX('AP Plants'!A:A,MATCH(G529,'AP Plants'!D:D,0)),INDEX('Australia Plants'!A:A,MATCH(G529,'Australia Plants'!D:D,0)))</f>
        <v>Maximal</v>
      </c>
      <c r="K529" s="73">
        <v>1</v>
      </c>
      <c r="L529" s="97">
        <v>47645</v>
      </c>
      <c r="M529" s="97">
        <v>36016.5</v>
      </c>
      <c r="N529" s="99">
        <v>0.28035197933416522</v>
      </c>
      <c r="O529" s="25">
        <f t="shared" si="157"/>
        <v>0.24406548431105046</v>
      </c>
      <c r="P529" s="14">
        <f>IFERROR(IF(OR(B529&amp;C529="PAU",B529&amp;C529="AIN"),VLOOKUP(B529&amp;C529&amp;G529,#REF!,8,0),VLOOKUP(B529&amp;G529,#REF!,8,0)),0)</f>
        <v>0</v>
      </c>
      <c r="Q529" s="15">
        <f t="shared" si="158"/>
        <v>0.28035197933416522</v>
      </c>
      <c r="R529" s="16" t="str">
        <f t="shared" si="159"/>
        <v>AOP</v>
      </c>
      <c r="S529" s="17">
        <f t="shared" si="167"/>
        <v>10097.297063688962</v>
      </c>
      <c r="T529" s="18">
        <f t="shared" si="160"/>
        <v>10097.297063688962</v>
      </c>
      <c r="U529" s="23">
        <f t="shared" si="164"/>
        <v>36016.5</v>
      </c>
      <c r="Y529" s="8" t="str">
        <f t="shared" si="161"/>
        <v>PNZH68834F5.0UT</v>
      </c>
      <c r="Z529" s="8" t="str">
        <f>IF(Y529='Input - Bookings'!Q762,"OK","Check")</f>
        <v>Check</v>
      </c>
      <c r="AA529" s="118"/>
      <c r="AB529" s="71"/>
      <c r="AC529" s="71"/>
      <c r="AD529" s="100">
        <v>25410.983270893179</v>
      </c>
      <c r="AE529" s="100"/>
      <c r="AF529" s="8" t="str">
        <f t="array" ref="AF529">_xlfn.XLOOKUP($G529,'AP Plants'!D:D,'AP Plants'!B:B)</f>
        <v>Class 5 NOT BT</v>
      </c>
      <c r="AG529" s="102"/>
      <c r="AH529" s="102">
        <f t="shared" si="168"/>
        <v>25410.983270893179</v>
      </c>
      <c r="AI529" s="44">
        <v>1.4999999999999999E-2</v>
      </c>
      <c r="AJ529" s="15">
        <f>_xlfn.XLOOKUP($AF529,Warranty!B:B,Warranty!E:E)</f>
        <v>5.0000000000000001E-3</v>
      </c>
      <c r="AK529" s="8">
        <f>IF($I529="AUD",VLOOKUP(RIGHT('Wk - Margins'!$G529,3),'AU Freight'!C:G,5,0),0)</f>
        <v>0</v>
      </c>
      <c r="AL529" s="15">
        <f t="shared" si="165"/>
        <v>0</v>
      </c>
      <c r="AM529" s="61">
        <f t="shared" si="163"/>
        <v>25919.202936311038</v>
      </c>
      <c r="AN529" s="63">
        <f t="shared" si="166"/>
        <v>0.28035197933416522</v>
      </c>
      <c r="AQ529" s="147"/>
    </row>
    <row r="530" spans="1:43">
      <c r="A530" s="10" t="str">
        <f>'Input - Bookings'!A530</f>
        <v>10-29</v>
      </c>
      <c r="B530" s="11" t="str">
        <f>'Input - Bookings'!C530</f>
        <v>P</v>
      </c>
      <c r="C530" s="11" t="str">
        <f>'Input - Bookings'!H530</f>
        <v>NZ</v>
      </c>
      <c r="D530" s="24" t="str">
        <f>'Input - Bookings'!E530</f>
        <v>065</v>
      </c>
      <c r="E530" s="24" t="str">
        <f>'Input - Bookings'!G530</f>
        <v>SIME DARBY TRANSPORT (NZ)</v>
      </c>
      <c r="F530" s="24" t="str">
        <f>'Input - Bookings'!I530</f>
        <v>H68835</v>
      </c>
      <c r="G530" s="24" t="str">
        <f>'Input - Bookings'!L530</f>
        <v>A3B9</v>
      </c>
      <c r="H530" s="24" t="str">
        <f>'Input - Bookings'!M530</f>
        <v>F5.0UT</v>
      </c>
      <c r="I530" s="24" t="str">
        <f>'Input - Bookings'!B530</f>
        <v>USD</v>
      </c>
      <c r="J530" s="13" t="str">
        <f>IF(I530="USD",INDEX('AP Plants'!A:A,MATCH(G530,'AP Plants'!D:D,0)),INDEX('Australia Plants'!A:A,MATCH(G530,'Australia Plants'!D:D,0)))</f>
        <v>Maximal</v>
      </c>
      <c r="K530" s="73">
        <v>1</v>
      </c>
      <c r="L530" s="97">
        <v>47645</v>
      </c>
      <c r="M530" s="97">
        <v>36016.5</v>
      </c>
      <c r="N530" s="99">
        <v>0.28035197933416522</v>
      </c>
      <c r="O530" s="25">
        <f t="shared" si="157"/>
        <v>0.24406548431105046</v>
      </c>
      <c r="P530" s="14">
        <f>IFERROR(IF(OR(B530&amp;C530="PAU",B530&amp;C530="AIN"),VLOOKUP(B530&amp;C530&amp;G530,#REF!,8,0),VLOOKUP(B530&amp;G530,#REF!,8,0)),0)</f>
        <v>0</v>
      </c>
      <c r="Q530" s="15">
        <f t="shared" si="158"/>
        <v>0.28035197933416522</v>
      </c>
      <c r="R530" s="16" t="str">
        <f t="shared" si="159"/>
        <v>AOP</v>
      </c>
      <c r="S530" s="17">
        <f t="shared" si="167"/>
        <v>10097.297063688962</v>
      </c>
      <c r="T530" s="18">
        <f t="shared" si="160"/>
        <v>10097.297063688962</v>
      </c>
      <c r="U530" s="23">
        <f t="shared" si="164"/>
        <v>36016.5</v>
      </c>
      <c r="Y530" s="8" t="str">
        <f t="shared" si="161"/>
        <v>PNZH68835F5.0UT</v>
      </c>
      <c r="Z530" s="8" t="str">
        <f>IF(Y530='Input - Bookings'!Q763,"OK","Check")</f>
        <v>Check</v>
      </c>
      <c r="AA530" s="118"/>
      <c r="AB530" s="71"/>
      <c r="AC530" s="71"/>
      <c r="AD530" s="100">
        <v>25410.983270893179</v>
      </c>
      <c r="AE530" s="98"/>
      <c r="AF530" s="8" t="str">
        <f t="array" ref="AF530">_xlfn.XLOOKUP($G530,'AP Plants'!D:D,'AP Plants'!B:B)</f>
        <v>Class 5 NOT BT</v>
      </c>
      <c r="AG530" s="102"/>
      <c r="AH530" s="102">
        <f t="shared" si="168"/>
        <v>25410.983270893179</v>
      </c>
      <c r="AI530" s="44">
        <v>1.4999999999999999E-2</v>
      </c>
      <c r="AJ530" s="15">
        <f>_xlfn.XLOOKUP($AF530,Warranty!B:B,Warranty!E:E)</f>
        <v>5.0000000000000001E-3</v>
      </c>
      <c r="AK530" s="8">
        <f>IF($I530="AUD",VLOOKUP(RIGHT('Wk - Margins'!$G530,3),'AU Freight'!C:G,5,0),0)</f>
        <v>0</v>
      </c>
      <c r="AL530" s="15">
        <f t="shared" si="165"/>
        <v>0</v>
      </c>
      <c r="AM530" s="61">
        <f t="shared" si="163"/>
        <v>25919.202936311038</v>
      </c>
      <c r="AN530" s="63">
        <f t="shared" si="166"/>
        <v>0.28035197933416522</v>
      </c>
      <c r="AQ530" s="147"/>
    </row>
    <row r="531" spans="1:43">
      <c r="A531" s="10" t="str">
        <f>'Input - Bookings'!A531</f>
        <v>10-29</v>
      </c>
      <c r="B531" s="11" t="str">
        <f>'Input - Bookings'!C531</f>
        <v>P</v>
      </c>
      <c r="C531" s="11" t="str">
        <f>'Input - Bookings'!H531</f>
        <v>NZ</v>
      </c>
      <c r="D531" s="24" t="str">
        <f>'Input - Bookings'!E531</f>
        <v>065</v>
      </c>
      <c r="E531" s="24" t="str">
        <f>'Input - Bookings'!G531</f>
        <v>SIME DARBY TRANSPORT (NZ)</v>
      </c>
      <c r="F531" s="24" t="str">
        <f>'Input - Bookings'!I531</f>
        <v>H68836</v>
      </c>
      <c r="G531" s="24" t="str">
        <f>'Input - Bookings'!L531</f>
        <v>D466</v>
      </c>
      <c r="H531" s="24" t="str">
        <f>'Input - Bookings'!M531</f>
        <v>H3.5XT</v>
      </c>
      <c r="I531" s="24" t="str">
        <f>'Input - Bookings'!B531</f>
        <v>USD</v>
      </c>
      <c r="J531" s="13" t="str">
        <f>IF(I531="USD",INDEX('AP Plants'!A:A,MATCH(G531,'AP Plants'!D:D,0)),INDEX('Australia Plants'!A:A,MATCH(G531,'Australia Plants'!D:D,0)))</f>
        <v>SN</v>
      </c>
      <c r="K531" s="73">
        <v>1</v>
      </c>
      <c r="L531" s="97">
        <v>42595</v>
      </c>
      <c r="M531" s="97">
        <v>29670.76</v>
      </c>
      <c r="N531" s="99">
        <v>0.27439547375831019</v>
      </c>
      <c r="O531" s="25">
        <f t="shared" si="157"/>
        <v>0.30342152834839775</v>
      </c>
      <c r="P531" s="14">
        <f>IFERROR(IF(OR(B531&amp;C531="PAU",B531&amp;C531="AIN"),VLOOKUP(B531&amp;C531&amp;G531,#REF!,8,0),VLOOKUP(B531&amp;G531,#REF!,8,0)),0)</f>
        <v>0</v>
      </c>
      <c r="Q531" s="15">
        <f t="shared" si="158"/>
        <v>0.27439547375831019</v>
      </c>
      <c r="R531" s="16" t="str">
        <f t="shared" si="159"/>
        <v>AOP</v>
      </c>
      <c r="S531" s="17">
        <f t="shared" si="167"/>
        <v>8141.5222469691189</v>
      </c>
      <c r="T531" s="18">
        <f t="shared" si="160"/>
        <v>8141.5222469691189</v>
      </c>
      <c r="U531" s="23">
        <f t="shared" si="164"/>
        <v>29670.76</v>
      </c>
      <c r="Y531" s="8" t="str">
        <f t="shared" si="161"/>
        <v>PNZH68836H3.5XT</v>
      </c>
      <c r="Z531" s="8" t="str">
        <f>IF(Y531='Input - Bookings'!Q764,"OK","Check")</f>
        <v>Check</v>
      </c>
      <c r="AA531" s="118"/>
      <c r="AB531" s="71"/>
      <c r="AC531" s="71"/>
      <c r="AD531" s="100">
        <v>21107.09583630479</v>
      </c>
      <c r="AE531" s="98"/>
      <c r="AF531" s="8" t="str">
        <f t="array" ref="AF531">_xlfn.XLOOKUP($G531,'AP Plants'!D:D,'AP Plants'!B:B)</f>
        <v>Class 5 NOT BT</v>
      </c>
      <c r="AG531" s="102"/>
      <c r="AH531" s="102">
        <f t="shared" si="168"/>
        <v>21107.09583630479</v>
      </c>
      <c r="AI531" s="44">
        <v>1.4999999999999999E-2</v>
      </c>
      <c r="AJ531" s="15">
        <f>_xlfn.XLOOKUP($AF531,Warranty!B:B,Warranty!E:E)</f>
        <v>5.0000000000000001E-3</v>
      </c>
      <c r="AK531" s="8">
        <f>IF($I531="AUD",VLOOKUP(RIGHT('Wk - Margins'!$G531,3),'AU Freight'!C:G,5,0),0)</f>
        <v>0</v>
      </c>
      <c r="AL531" s="15">
        <f t="shared" si="165"/>
        <v>0</v>
      </c>
      <c r="AM531" s="61">
        <f t="shared" si="163"/>
        <v>21529.23775303088</v>
      </c>
      <c r="AN531" s="63">
        <f t="shared" si="166"/>
        <v>0.27439547375831019</v>
      </c>
      <c r="AQ531" s="147"/>
    </row>
    <row r="532" spans="1:43">
      <c r="A532" s="10" t="str">
        <f>'Input - Bookings'!A532</f>
        <v>10-29</v>
      </c>
      <c r="B532" s="11" t="str">
        <f>'Input - Bookings'!C532</f>
        <v>P</v>
      </c>
      <c r="C532" s="11" t="str">
        <f>'Input - Bookings'!H532</f>
        <v>NZ</v>
      </c>
      <c r="D532" s="24" t="str">
        <f>'Input - Bookings'!E532</f>
        <v>065</v>
      </c>
      <c r="E532" s="24" t="str">
        <f>'Input - Bookings'!G532</f>
        <v>SIME DARBY TRANSPORT (NZ)</v>
      </c>
      <c r="F532" s="24" t="str">
        <f>'Input - Bookings'!I532</f>
        <v>H68837</v>
      </c>
      <c r="G532" s="24" t="str">
        <f>'Input - Bookings'!L532</f>
        <v>D466</v>
      </c>
      <c r="H532" s="24" t="str">
        <f>'Input - Bookings'!M532</f>
        <v>H3.5XT</v>
      </c>
      <c r="I532" s="24" t="str">
        <f>'Input - Bookings'!B532</f>
        <v>USD</v>
      </c>
      <c r="J532" s="13" t="str">
        <f>IF(I532="USD",INDEX('AP Plants'!A:A,MATCH(G532,'AP Plants'!D:D,0)),INDEX('Australia Plants'!A:A,MATCH(G532,'Australia Plants'!D:D,0)))</f>
        <v>SN</v>
      </c>
      <c r="K532" s="73">
        <v>1</v>
      </c>
      <c r="L532" s="97">
        <v>42595</v>
      </c>
      <c r="M532" s="97">
        <v>29670.76</v>
      </c>
      <c r="N532" s="99">
        <v>0.27439547375831019</v>
      </c>
      <c r="O532" s="25">
        <f t="shared" si="157"/>
        <v>0.30342152834839775</v>
      </c>
      <c r="P532" s="14">
        <f>IFERROR(IF(OR(B532&amp;C532="PAU",B532&amp;C532="AIN"),VLOOKUP(B532&amp;C532&amp;G532,#REF!,8,0),VLOOKUP(B532&amp;G532,#REF!,8,0)),0)</f>
        <v>0</v>
      </c>
      <c r="Q532" s="15">
        <f t="shared" si="158"/>
        <v>0.27439547375831019</v>
      </c>
      <c r="R532" s="16" t="str">
        <f t="shared" si="159"/>
        <v>AOP</v>
      </c>
      <c r="S532" s="17">
        <f t="shared" si="167"/>
        <v>8141.5222469691189</v>
      </c>
      <c r="T532" s="18">
        <f t="shared" si="160"/>
        <v>8141.5222469691189</v>
      </c>
      <c r="U532" s="23">
        <f t="shared" si="164"/>
        <v>29670.76</v>
      </c>
      <c r="Y532" s="8" t="str">
        <f t="shared" si="161"/>
        <v>PNZH68837H3.5XT</v>
      </c>
      <c r="Z532" s="8" t="str">
        <f>IF(Y532='Input - Bookings'!Q765,"OK","Check")</f>
        <v>Check</v>
      </c>
      <c r="AA532" s="139"/>
      <c r="AB532" s="71"/>
      <c r="AC532" s="71"/>
      <c r="AD532" s="100">
        <v>21107.09583630479</v>
      </c>
      <c r="AE532" s="98"/>
      <c r="AF532" s="8" t="str">
        <f t="array" ref="AF532">_xlfn.XLOOKUP($G532,'AP Plants'!D:D,'AP Plants'!B:B)</f>
        <v>Class 5 NOT BT</v>
      </c>
      <c r="AG532" s="102"/>
      <c r="AH532" s="102">
        <f t="shared" si="168"/>
        <v>21107.09583630479</v>
      </c>
      <c r="AI532" s="44">
        <v>1.4999999999999999E-2</v>
      </c>
      <c r="AJ532" s="15">
        <f>_xlfn.XLOOKUP($AF532,Warranty!B:B,Warranty!E:E)</f>
        <v>5.0000000000000001E-3</v>
      </c>
      <c r="AK532" s="8">
        <f>IF($I532="AUD",VLOOKUP(RIGHT('Wk - Margins'!$G532,3),'AU Freight'!C:G,5,0),0)</f>
        <v>0</v>
      </c>
      <c r="AL532" s="15">
        <f t="shared" si="165"/>
        <v>0</v>
      </c>
      <c r="AM532" s="61">
        <f t="shared" si="163"/>
        <v>21529.23775303088</v>
      </c>
      <c r="AN532" s="63">
        <f t="shared" si="166"/>
        <v>0.27439547375831019</v>
      </c>
      <c r="AQ532" s="147"/>
    </row>
    <row r="533" spans="1:43">
      <c r="A533" s="10" t="str">
        <f>'Input - Bookings'!A533</f>
        <v>10-30</v>
      </c>
      <c r="B533" s="11" t="str">
        <f>'Input - Bookings'!C533</f>
        <v>P</v>
      </c>
      <c r="C533" s="11" t="str">
        <f>'Input - Bookings'!H533</f>
        <v>AU</v>
      </c>
      <c r="D533" s="24" t="str">
        <f>'Input - Bookings'!E533</f>
        <v>065</v>
      </c>
      <c r="E533" s="24" t="str">
        <f>'Input - Bookings'!G533</f>
        <v>ADAPT-A-LIFT GROUP (QLD)</v>
      </c>
      <c r="F533" s="24" t="str">
        <f>'Input - Bookings'!I533</f>
        <v>H69240</v>
      </c>
      <c r="G533" s="24" t="str">
        <f>'Input - Bookings'!L533</f>
        <v>D475</v>
      </c>
      <c r="H533" s="24" t="str">
        <f>'Input - Bookings'!M533</f>
        <v>H2.0XTS</v>
      </c>
      <c r="I533" s="24" t="str">
        <f>'Input - Bookings'!B533</f>
        <v>AUD</v>
      </c>
      <c r="J533" s="13" t="str">
        <f>IF(I533="USD",INDEX('AP Plants'!A:A,MATCH(G533,'AP Plants'!D:D,0)),INDEX('Australia Plants'!A:A,MATCH(G533,'Australia Plants'!D:D,0)))</f>
        <v>SN</v>
      </c>
      <c r="K533" s="73">
        <v>1</v>
      </c>
      <c r="L533" s="97">
        <v>33235</v>
      </c>
      <c r="M533" s="97">
        <v>27213.9</v>
      </c>
      <c r="N533" s="99">
        <v>0.16525090453303959</v>
      </c>
      <c r="O533" s="25">
        <f t="shared" ref="O533:O589" si="169">1-M533/L533</f>
        <v>0.18116744395968098</v>
      </c>
      <c r="P533" s="14">
        <f>IFERROR(IF(OR(B533&amp;C533="PAU",B533&amp;C533="AIN"),VLOOKUP(B533&amp;C533&amp;G533,#REF!,8,0),VLOOKUP(B533&amp;G533,#REF!,8,0)),0)</f>
        <v>0</v>
      </c>
      <c r="Q533" s="15">
        <f t="shared" ref="Q533:Q589" si="170">N533-P533</f>
        <v>0.16525090453303959</v>
      </c>
      <c r="R533" s="16" t="str">
        <f t="shared" ref="R533:R589" si="171">IF(Q533&gt;=0%,"AOP",IF(Q533&gt;=-2%,"GM",IF(Q533&gt;=-6%,"MD","VP")))</f>
        <v>AOP</v>
      </c>
      <c r="S533" s="17">
        <f t="shared" si="167"/>
        <v>4497.1215908716867</v>
      </c>
      <c r="T533" s="18" t="e">
        <f t="shared" ref="T533:T589" si="172">IF(I533="USD",S533,S533/$X$6)</f>
        <v>#DIV/0!</v>
      </c>
      <c r="U533" s="23" t="e">
        <f t="shared" si="164"/>
        <v>#DIV/0!</v>
      </c>
      <c r="Y533" s="8" t="str">
        <f t="shared" ref="Y533:Y589" si="173">B533&amp;C533&amp;F533&amp;H533</f>
        <v>PAUH69240H2.0XTS</v>
      </c>
      <c r="Z533" s="8" t="str">
        <f>IF(Y533='Input - Bookings'!Q766,"OK","Check")</f>
        <v>Check</v>
      </c>
      <c r="AA533" s="118"/>
      <c r="AB533" s="71"/>
      <c r="AC533" s="71"/>
      <c r="AD533" s="100">
        <v>13556.283943167484</v>
      </c>
      <c r="AE533" s="100"/>
      <c r="AF533" s="8" t="str">
        <f t="array" ref="AF533">_xlfn.XLOOKUP($G533,'AP Plants'!D:D,'AP Plants'!B:B)</f>
        <v>Class 5 NOT BT</v>
      </c>
      <c r="AG533" s="102">
        <f>AD533*'Currency &amp; Conversion'!$L$6</f>
        <v>20188.018048165017</v>
      </c>
      <c r="AH533" s="102"/>
      <c r="AI533" s="44">
        <v>1.4999999999999999E-2</v>
      </c>
      <c r="AJ533" s="15">
        <f>_xlfn.XLOOKUP($AF533,Warranty!B:B,Warranty!E:E)</f>
        <v>5.0000000000000001E-3</v>
      </c>
      <c r="AK533" s="8">
        <f>IF($I533="AUD",VLOOKUP(RIGHT('Wk - Margins'!$G533,3),'AU Freight'!C:G,5,0),0)</f>
        <v>2125</v>
      </c>
      <c r="AL533" s="15">
        <f t="shared" si="165"/>
        <v>0</v>
      </c>
      <c r="AM533" s="61">
        <f t="shared" si="163"/>
        <v>22716.778409128314</v>
      </c>
      <c r="AN533" s="63">
        <f t="shared" si="166"/>
        <v>0.16525090453303959</v>
      </c>
      <c r="AQ533" s="147"/>
    </row>
    <row r="534" spans="1:43">
      <c r="A534" s="10" t="str">
        <f>'Input - Bookings'!A534</f>
        <v>10-30</v>
      </c>
      <c r="B534" s="11" t="str">
        <f>'Input - Bookings'!C534</f>
        <v>P</v>
      </c>
      <c r="C534" s="11" t="str">
        <f>'Input - Bookings'!H534</f>
        <v>AU</v>
      </c>
      <c r="D534" s="24" t="str">
        <f>'Input - Bookings'!E534</f>
        <v>065</v>
      </c>
      <c r="E534" s="24" t="str">
        <f>'Input - Bookings'!G534</f>
        <v>ADAPT-A-LIFT GROUP (QLD)</v>
      </c>
      <c r="F534" s="24" t="str">
        <f>'Input - Bookings'!I534</f>
        <v>H69242</v>
      </c>
      <c r="G534" s="24" t="str">
        <f>'Input - Bookings'!L534</f>
        <v>D475</v>
      </c>
      <c r="H534" s="24" t="str">
        <f>'Input - Bookings'!M534</f>
        <v>H2.0XTS</v>
      </c>
      <c r="I534" s="24" t="str">
        <f>'Input - Bookings'!B534</f>
        <v>AUD</v>
      </c>
      <c r="J534" s="13" t="str">
        <f>IF(I534="USD",INDEX('AP Plants'!A:A,MATCH(G534,'AP Plants'!D:D,0)),INDEX('Australia Plants'!A:A,MATCH(G534,'Australia Plants'!D:D,0)))</f>
        <v>SN</v>
      </c>
      <c r="K534" s="73">
        <v>1</v>
      </c>
      <c r="L534" s="97">
        <v>33235</v>
      </c>
      <c r="M534" s="97">
        <v>27213.9</v>
      </c>
      <c r="N534" s="99">
        <v>0.16525090453303959</v>
      </c>
      <c r="O534" s="25">
        <f t="shared" si="169"/>
        <v>0.18116744395968098</v>
      </c>
      <c r="P534" s="14">
        <f>IFERROR(IF(OR(B534&amp;C534="PAU",B534&amp;C534="AIN"),VLOOKUP(B534&amp;C534&amp;G534,#REF!,8,0),VLOOKUP(B534&amp;G534,#REF!,8,0)),0)</f>
        <v>0</v>
      </c>
      <c r="Q534" s="15">
        <f t="shared" si="170"/>
        <v>0.16525090453303959</v>
      </c>
      <c r="R534" s="16" t="str">
        <f t="shared" si="171"/>
        <v>AOP</v>
      </c>
      <c r="S534" s="17">
        <f t="shared" si="167"/>
        <v>4497.1215908716867</v>
      </c>
      <c r="T534" s="18" t="e">
        <f t="shared" si="172"/>
        <v>#DIV/0!</v>
      </c>
      <c r="U534" s="23" t="e">
        <f t="shared" si="164"/>
        <v>#DIV/0!</v>
      </c>
      <c r="Y534" s="8" t="str">
        <f t="shared" si="173"/>
        <v>PAUH69242H2.0XTS</v>
      </c>
      <c r="Z534" s="8" t="str">
        <f>IF(Y534='Input - Bookings'!Q767,"OK","Check")</f>
        <v>Check</v>
      </c>
      <c r="AA534" s="118"/>
      <c r="AB534" s="71"/>
      <c r="AC534" s="71"/>
      <c r="AD534" s="100">
        <v>13556.283943167484</v>
      </c>
      <c r="AE534" s="98"/>
      <c r="AF534" s="8" t="str">
        <f t="array" ref="AF534">_xlfn.XLOOKUP($G534,'AP Plants'!D:D,'AP Plants'!B:B)</f>
        <v>Class 5 NOT BT</v>
      </c>
      <c r="AG534" s="102">
        <f>AD534*'Currency &amp; Conversion'!$L$6</f>
        <v>20188.018048165017</v>
      </c>
      <c r="AH534" s="102"/>
      <c r="AI534" s="44">
        <v>1.4999999999999999E-2</v>
      </c>
      <c r="AJ534" s="15">
        <f>_xlfn.XLOOKUP($AF534,Warranty!B:B,Warranty!E:E)</f>
        <v>5.0000000000000001E-3</v>
      </c>
      <c r="AK534" s="8">
        <f>IF($I534="AUD",VLOOKUP(RIGHT('Wk - Margins'!$G534,3),'AU Freight'!C:G,5,0),0)</f>
        <v>2125</v>
      </c>
      <c r="AL534" s="15">
        <f t="shared" si="165"/>
        <v>0</v>
      </c>
      <c r="AM534" s="61">
        <f t="shared" si="163"/>
        <v>22716.778409128314</v>
      </c>
      <c r="AN534" s="63">
        <f t="shared" si="166"/>
        <v>0.16525090453303959</v>
      </c>
      <c r="AQ534" s="147"/>
    </row>
    <row r="535" spans="1:43">
      <c r="A535" s="10" t="str">
        <f>'Input - Bookings'!A535</f>
        <v>10-30</v>
      </c>
      <c r="B535" s="11" t="str">
        <f>'Input - Bookings'!C535</f>
        <v>P</v>
      </c>
      <c r="C535" s="11" t="str">
        <f>'Input - Bookings'!H535</f>
        <v>AU</v>
      </c>
      <c r="D535" s="24" t="str">
        <f>'Input - Bookings'!E535</f>
        <v>065</v>
      </c>
      <c r="E535" s="24" t="str">
        <f>'Input - Bookings'!G535</f>
        <v>ADAPT-A-LIFT GROUP (QLD)</v>
      </c>
      <c r="F535" s="24" t="str">
        <f>'Input - Bookings'!I535</f>
        <v>H69243</v>
      </c>
      <c r="G535" s="24" t="str">
        <f>'Input - Bookings'!L535</f>
        <v>D475</v>
      </c>
      <c r="H535" s="24" t="str">
        <f>'Input - Bookings'!M535</f>
        <v>H2.0XTS</v>
      </c>
      <c r="I535" s="24" t="str">
        <f>'Input - Bookings'!B535</f>
        <v>AUD</v>
      </c>
      <c r="J535" s="13" t="str">
        <f>IF(I535="USD",INDEX('AP Plants'!A:A,MATCH(G535,'AP Plants'!D:D,0)),INDEX('Australia Plants'!A:A,MATCH(G535,'Australia Plants'!D:D,0)))</f>
        <v>SN</v>
      </c>
      <c r="K535" s="73">
        <v>1</v>
      </c>
      <c r="L535" s="97">
        <v>33235</v>
      </c>
      <c r="M535" s="97">
        <v>27213.9</v>
      </c>
      <c r="N535" s="99">
        <v>0.16525090453303959</v>
      </c>
      <c r="O535" s="25">
        <f t="shared" si="169"/>
        <v>0.18116744395968098</v>
      </c>
      <c r="P535" s="14">
        <f>IFERROR(IF(OR(B535&amp;C535="PAU",B535&amp;C535="AIN"),VLOOKUP(B535&amp;C535&amp;G535,#REF!,8,0),VLOOKUP(B535&amp;G535,#REF!,8,0)),0)</f>
        <v>0</v>
      </c>
      <c r="Q535" s="15">
        <f t="shared" si="170"/>
        <v>0.16525090453303959</v>
      </c>
      <c r="R535" s="16" t="str">
        <f t="shared" si="171"/>
        <v>AOP</v>
      </c>
      <c r="S535" s="17">
        <f t="shared" si="167"/>
        <v>4497.1215908716867</v>
      </c>
      <c r="T535" s="18" t="e">
        <f t="shared" si="172"/>
        <v>#DIV/0!</v>
      </c>
      <c r="U535" s="23" t="e">
        <f t="shared" si="164"/>
        <v>#DIV/0!</v>
      </c>
      <c r="Y535" s="8" t="str">
        <f t="shared" si="173"/>
        <v>PAUH69243H2.0XTS</v>
      </c>
      <c r="Z535" s="8" t="str">
        <f>IF(Y535='Input - Bookings'!Q768,"OK","Check")</f>
        <v>Check</v>
      </c>
      <c r="AA535" s="118"/>
      <c r="AB535" s="71"/>
      <c r="AC535" s="71"/>
      <c r="AD535" s="100">
        <v>13556.283943167484</v>
      </c>
      <c r="AE535" s="98"/>
      <c r="AF535" s="8" t="str">
        <f t="array" ref="AF535">_xlfn.XLOOKUP($G535,'AP Plants'!D:D,'AP Plants'!B:B)</f>
        <v>Class 5 NOT BT</v>
      </c>
      <c r="AG535" s="102">
        <f>AD535*'Currency &amp; Conversion'!$L$6</f>
        <v>20188.018048165017</v>
      </c>
      <c r="AH535" s="102"/>
      <c r="AI535" s="44">
        <v>1.4999999999999999E-2</v>
      </c>
      <c r="AJ535" s="15">
        <f>_xlfn.XLOOKUP($AF535,Warranty!B:B,Warranty!E:E)</f>
        <v>5.0000000000000001E-3</v>
      </c>
      <c r="AK535" s="8">
        <f>IF($I535="AUD",VLOOKUP(RIGHT('Wk - Margins'!$G535,3),'AU Freight'!C:G,5,0),0)</f>
        <v>2125</v>
      </c>
      <c r="AL535" s="15">
        <f t="shared" si="165"/>
        <v>0</v>
      </c>
      <c r="AM535" s="61">
        <f t="shared" si="163"/>
        <v>22716.778409128314</v>
      </c>
      <c r="AN535" s="63">
        <f t="shared" si="166"/>
        <v>0.16525090453303959</v>
      </c>
      <c r="AQ535" s="147"/>
    </row>
    <row r="536" spans="1:43">
      <c r="A536" s="10" t="str">
        <f>'Input - Bookings'!A536</f>
        <v>10-30</v>
      </c>
      <c r="B536" s="11" t="str">
        <f>'Input - Bookings'!C536</f>
        <v>P</v>
      </c>
      <c r="C536" s="11" t="str">
        <f>'Input - Bookings'!H536</f>
        <v>AU</v>
      </c>
      <c r="D536" s="24" t="str">
        <f>'Input - Bookings'!E536</f>
        <v>065</v>
      </c>
      <c r="E536" s="24" t="str">
        <f>'Input - Bookings'!G536</f>
        <v>ADAPT-A-LIFT GROUP (QLD)</v>
      </c>
      <c r="F536" s="24" t="str">
        <f>'Input - Bookings'!I536</f>
        <v>H69244</v>
      </c>
      <c r="G536" s="24" t="str">
        <f>'Input - Bookings'!L536</f>
        <v>D475</v>
      </c>
      <c r="H536" s="24" t="str">
        <f>'Input - Bookings'!M536</f>
        <v>H2.0XTS</v>
      </c>
      <c r="I536" s="24" t="str">
        <f>'Input - Bookings'!B536</f>
        <v>AUD</v>
      </c>
      <c r="J536" s="13" t="str">
        <f>IF(I536="USD",INDEX('AP Plants'!A:A,MATCH(G536,'AP Plants'!D:D,0)),INDEX('Australia Plants'!A:A,MATCH(G536,'Australia Plants'!D:D,0)))</f>
        <v>SN</v>
      </c>
      <c r="K536" s="73">
        <v>1</v>
      </c>
      <c r="L536" s="97">
        <v>33235</v>
      </c>
      <c r="M536" s="97">
        <v>27213.9</v>
      </c>
      <c r="N536" s="99">
        <v>0.16525090453303959</v>
      </c>
      <c r="O536" s="25">
        <f t="shared" si="169"/>
        <v>0.18116744395968098</v>
      </c>
      <c r="P536" s="14">
        <f>IFERROR(IF(OR(B536&amp;C536="PAU",B536&amp;C536="AIN"),VLOOKUP(B536&amp;C536&amp;G536,#REF!,8,0),VLOOKUP(B536&amp;G536,#REF!,8,0)),0)</f>
        <v>0</v>
      </c>
      <c r="Q536" s="15">
        <f t="shared" si="170"/>
        <v>0.16525090453303959</v>
      </c>
      <c r="R536" s="16" t="str">
        <f t="shared" si="171"/>
        <v>AOP</v>
      </c>
      <c r="S536" s="17">
        <f t="shared" si="167"/>
        <v>4497.1215908716867</v>
      </c>
      <c r="T536" s="18" t="e">
        <f t="shared" si="172"/>
        <v>#DIV/0!</v>
      </c>
      <c r="U536" s="23" t="e">
        <f t="shared" si="164"/>
        <v>#DIV/0!</v>
      </c>
      <c r="Y536" s="8" t="str">
        <f t="shared" si="173"/>
        <v>PAUH69244H2.0XTS</v>
      </c>
      <c r="Z536" s="8" t="str">
        <f>IF(Y536='Input - Bookings'!Q769,"OK","Check")</f>
        <v>Check</v>
      </c>
      <c r="AA536" s="118"/>
      <c r="AB536" s="71"/>
      <c r="AC536" s="71"/>
      <c r="AD536" s="100">
        <v>13556.283943167484</v>
      </c>
      <c r="AE536" s="98"/>
      <c r="AF536" s="8" t="str">
        <f t="array" ref="AF536">_xlfn.XLOOKUP($G536,'AP Plants'!D:D,'AP Plants'!B:B)</f>
        <v>Class 5 NOT BT</v>
      </c>
      <c r="AG536" s="102">
        <f>AD536*'Currency &amp; Conversion'!$L$6</f>
        <v>20188.018048165017</v>
      </c>
      <c r="AH536" s="102"/>
      <c r="AI536" s="44">
        <v>1.4999999999999999E-2</v>
      </c>
      <c r="AJ536" s="15">
        <f>_xlfn.XLOOKUP($AF536,Warranty!B:B,Warranty!E:E)</f>
        <v>5.0000000000000001E-3</v>
      </c>
      <c r="AK536" s="8">
        <f>IF($I536="AUD",VLOOKUP(RIGHT('Wk - Margins'!$G536,3),'AU Freight'!C:G,5,0),0)</f>
        <v>2125</v>
      </c>
      <c r="AL536" s="15">
        <f t="shared" si="165"/>
        <v>0</v>
      </c>
      <c r="AM536" s="61">
        <f t="shared" si="163"/>
        <v>22716.778409128314</v>
      </c>
      <c r="AN536" s="63">
        <f t="shared" si="166"/>
        <v>0.16525090453303959</v>
      </c>
      <c r="AQ536" s="147"/>
    </row>
    <row r="537" spans="1:43">
      <c r="A537" s="10" t="str">
        <f>'Input - Bookings'!A537</f>
        <v>10-30</v>
      </c>
      <c r="B537" s="11" t="str">
        <f>'Input - Bookings'!C537</f>
        <v>P</v>
      </c>
      <c r="C537" s="11" t="str">
        <f>'Input - Bookings'!H537</f>
        <v>AU</v>
      </c>
      <c r="D537" s="24" t="str">
        <f>'Input - Bookings'!E537</f>
        <v>065</v>
      </c>
      <c r="E537" s="24" t="str">
        <f>'Input - Bookings'!G537</f>
        <v>ADAPT-A-LIFT GROUP (WA)</v>
      </c>
      <c r="F537" s="24" t="str">
        <f>'Input - Bookings'!I537</f>
        <v>H69186</v>
      </c>
      <c r="G537" s="24" t="str">
        <f>'Input - Bookings'!L537</f>
        <v>J008</v>
      </c>
      <c r="H537" s="24" t="str">
        <f>'Input - Bookings'!M537</f>
        <v>H32XD12</v>
      </c>
      <c r="I537" s="24" t="str">
        <f>'Input - Bookings'!B537</f>
        <v>AUD</v>
      </c>
      <c r="J537" s="13" t="str">
        <f>IF(I537="USD",INDEX('AP Plants'!A:A,MATCH(G537,'AP Plants'!D:D,0)),INDEX('Australia Plants'!A:A,MATCH(G537,'Australia Plants'!D:D,0)))</f>
        <v>Nijmegen</v>
      </c>
      <c r="K537" s="73">
        <v>1</v>
      </c>
      <c r="L537" s="97">
        <v>555455</v>
      </c>
      <c r="M537" s="97">
        <v>495167.22</v>
      </c>
      <c r="N537" s="99">
        <v>0.13498279669451463</v>
      </c>
      <c r="O537" s="25">
        <f t="shared" si="169"/>
        <v>0.10853764931452603</v>
      </c>
      <c r="P537" s="14">
        <f>IFERROR(IF(OR(B537&amp;C537="PAU",B537&amp;C537="AIN"),VLOOKUP(B537&amp;C537&amp;G537,#REF!,8,0),VLOOKUP(B537&amp;G537,#REF!,8,0)),0)</f>
        <v>0</v>
      </c>
      <c r="Q537" s="15">
        <f t="shared" si="170"/>
        <v>0.13498279669451463</v>
      </c>
      <c r="R537" s="16" t="str">
        <f t="shared" si="171"/>
        <v>AOP</v>
      </c>
      <c r="S537" s="17">
        <f t="shared" si="167"/>
        <v>66839.056187047987</v>
      </c>
      <c r="T537" s="18" t="e">
        <f t="shared" si="172"/>
        <v>#DIV/0!</v>
      </c>
      <c r="U537" s="23" t="e">
        <f t="shared" si="164"/>
        <v>#DIV/0!</v>
      </c>
      <c r="Y537" s="8" t="str">
        <f t="shared" si="173"/>
        <v>PAUH69186H32XD12</v>
      </c>
      <c r="Z537" s="8" t="str">
        <f>IF(Y537='Input - Bookings'!Q770,"OK","Check")</f>
        <v>Check</v>
      </c>
      <c r="AA537" s="118"/>
      <c r="AB537" s="71"/>
      <c r="AC537" s="71"/>
      <c r="AD537" s="100"/>
      <c r="AE537" s="100">
        <v>241500.750206</v>
      </c>
      <c r="AF537" s="8" t="str">
        <f t="array" ref="AF537">_xlfn.XLOOKUP($G537,'AP Plants'!D:D,'AP Plants'!B:B)</f>
        <v>Class 5 BT</v>
      </c>
      <c r="AG537" s="102">
        <f>(AE537*(1+VLOOKUP(J537,'Currency &amp; Conversion'!$F$12:$I$18,2,0))*'Currency &amp; Conversion'!$L$4)+((AB537+AC537)*90%)</f>
        <v>378783.08331442677</v>
      </c>
      <c r="AH537" s="102"/>
      <c r="AI537" s="44">
        <v>1.4999999999999999E-2</v>
      </c>
      <c r="AJ537" s="15">
        <f>_xlfn.XLOOKUP($AF537,Warranty!B:B,Warranty!E:E)</f>
        <v>1.2999999999999999E-2</v>
      </c>
      <c r="AK537" s="8">
        <f>IF($I537="AUD",VLOOKUP(RIGHT('Wk - Margins'!$G537,3),'AU Freight'!C:G,5,0),0)</f>
        <v>20000</v>
      </c>
      <c r="AL537" s="15">
        <f t="shared" si="165"/>
        <v>0.05</v>
      </c>
      <c r="AM537" s="61">
        <f t="shared" si="163"/>
        <v>428328.163812952</v>
      </c>
      <c r="AN537" s="63">
        <f t="shared" si="166"/>
        <v>0.13498279669451463</v>
      </c>
      <c r="AQ537" s="147"/>
    </row>
    <row r="538" spans="1:43">
      <c r="A538" s="10" t="str">
        <f>'Input - Bookings'!A538</f>
        <v>10-30</v>
      </c>
      <c r="B538" s="11" t="str">
        <f>'Input - Bookings'!C538</f>
        <v>P</v>
      </c>
      <c r="C538" s="11" t="str">
        <f>'Input - Bookings'!H538</f>
        <v>AU</v>
      </c>
      <c r="D538" s="24" t="str">
        <f>'Input - Bookings'!E538</f>
        <v>065</v>
      </c>
      <c r="E538" s="24" t="str">
        <f>'Input - Bookings'!G538</f>
        <v>ADAPT-A-LIFT GROUP (WA)</v>
      </c>
      <c r="F538" s="24" t="str">
        <f>'Input - Bookings'!I538</f>
        <v>H69197</v>
      </c>
      <c r="G538" s="24" t="str">
        <f>'Input - Bookings'!L538</f>
        <v>D466</v>
      </c>
      <c r="H538" s="24" t="str">
        <f>'Input - Bookings'!M538</f>
        <v>H2.5XT</v>
      </c>
      <c r="I538" s="24" t="str">
        <f>'Input - Bookings'!B538</f>
        <v>AUD</v>
      </c>
      <c r="J538" s="13" t="str">
        <f>IF(I538="USD",INDEX('AP Plants'!A:A,MATCH(G538,'AP Plants'!D:D,0)),INDEX('Australia Plants'!A:A,MATCH(G538,'Australia Plants'!D:D,0)))</f>
        <v>SN</v>
      </c>
      <c r="K538" s="73">
        <v>1</v>
      </c>
      <c r="L538" s="97">
        <v>43070</v>
      </c>
      <c r="M538" s="97">
        <v>33136.019999999997</v>
      </c>
      <c r="N538" s="99">
        <v>0.13089524089507665</v>
      </c>
      <c r="O538" s="25">
        <f t="shared" si="169"/>
        <v>0.23064731831901564</v>
      </c>
      <c r="P538" s="14">
        <f>IFERROR(IF(OR(B538&amp;C538="PAU",B538&amp;C538="AIN"),VLOOKUP(B538&amp;C538&amp;G538,#REF!,8,0),VLOOKUP(B538&amp;G538,#REF!,8,0)),0)</f>
        <v>0</v>
      </c>
      <c r="Q538" s="15">
        <f t="shared" si="170"/>
        <v>0.13089524089507665</v>
      </c>
      <c r="R538" s="16" t="str">
        <f t="shared" si="171"/>
        <v>AOP</v>
      </c>
      <c r="S538" s="17">
        <f t="shared" si="167"/>
        <v>4337.3473202040777</v>
      </c>
      <c r="T538" s="18" t="e">
        <f t="shared" si="172"/>
        <v>#DIV/0!</v>
      </c>
      <c r="U538" s="23" t="e">
        <f t="shared" si="164"/>
        <v>#DIV/0!</v>
      </c>
      <c r="Y538" s="8" t="str">
        <f t="shared" si="173"/>
        <v>PAUH69197H2.5XT</v>
      </c>
      <c r="Z538" s="8" t="str">
        <f>IF(Y538='Input - Bookings'!Q771,"OK","Check")</f>
        <v>Check</v>
      </c>
      <c r="AA538" s="140"/>
      <c r="AB538" s="71"/>
      <c r="AC538" s="71"/>
      <c r="AD538" s="100">
        <v>17556.914806078225</v>
      </c>
      <c r="AE538" s="100"/>
      <c r="AF538" s="8" t="str">
        <f t="array" ref="AF538">_xlfn.XLOOKUP($G538,'AP Plants'!D:D,'AP Plants'!B:B)</f>
        <v>Class 5 NOT BT</v>
      </c>
      <c r="AG538" s="102">
        <f>AD538*'Currency &amp; Conversion'!$L$6</f>
        <v>26145.757529211693</v>
      </c>
      <c r="AH538" s="102"/>
      <c r="AI538" s="44">
        <v>1.4999999999999999E-2</v>
      </c>
      <c r="AJ538" s="15">
        <f>_xlfn.XLOOKUP($AF538,Warranty!B:B,Warranty!E:E)</f>
        <v>5.0000000000000001E-3</v>
      </c>
      <c r="AK538" s="8">
        <f>IF($I538="AUD",VLOOKUP(RIGHT('Wk - Margins'!$G538,3),'AU Freight'!C:G,5,0),0)</f>
        <v>2130</v>
      </c>
      <c r="AL538" s="15">
        <f t="shared" si="165"/>
        <v>0</v>
      </c>
      <c r="AM538" s="61">
        <f t="shared" si="163"/>
        <v>28798.67267979592</v>
      </c>
      <c r="AN538" s="63">
        <f t="shared" si="166"/>
        <v>0.13089524089507665</v>
      </c>
      <c r="AQ538" s="147"/>
    </row>
    <row r="539" spans="1:43">
      <c r="A539" s="10" t="str">
        <f>'Input - Bookings'!A539</f>
        <v>10-30</v>
      </c>
      <c r="B539" s="11" t="str">
        <f>'Input - Bookings'!C539</f>
        <v>P</v>
      </c>
      <c r="C539" s="11" t="str">
        <f>'Input - Bookings'!H539</f>
        <v>AU</v>
      </c>
      <c r="D539" s="24" t="str">
        <f>'Input - Bookings'!E539</f>
        <v>065</v>
      </c>
      <c r="E539" s="24" t="str">
        <f>'Input - Bookings'!G539</f>
        <v>ADAPT-A-LIFT GROUP (WA)</v>
      </c>
      <c r="F539" s="24" t="str">
        <f>'Input - Bookings'!I539</f>
        <v>H69199</v>
      </c>
      <c r="G539" s="24" t="str">
        <f>'Input - Bookings'!L539</f>
        <v>D466</v>
      </c>
      <c r="H539" s="24" t="str">
        <f>'Input - Bookings'!M539</f>
        <v>H2.5XT</v>
      </c>
      <c r="I539" s="24" t="str">
        <f>'Input - Bookings'!B539</f>
        <v>AUD</v>
      </c>
      <c r="J539" s="13" t="str">
        <f>IF(I539="USD",INDEX('AP Plants'!A:A,MATCH(G539,'AP Plants'!D:D,0)),INDEX('Australia Plants'!A:A,MATCH(G539,'Australia Plants'!D:D,0)))</f>
        <v>SN</v>
      </c>
      <c r="K539" s="73">
        <v>1</v>
      </c>
      <c r="L539" s="97">
        <v>43070</v>
      </c>
      <c r="M539" s="97">
        <v>33136.019999999997</v>
      </c>
      <c r="N539" s="99">
        <v>0.13089524089507665</v>
      </c>
      <c r="O539" s="25">
        <f t="shared" si="169"/>
        <v>0.23064731831901564</v>
      </c>
      <c r="P539" s="14">
        <f>IFERROR(IF(OR(B539&amp;C539="PAU",B539&amp;C539="AIN"),VLOOKUP(B539&amp;C539&amp;G539,#REF!,8,0),VLOOKUP(B539&amp;G539,#REF!,8,0)),0)</f>
        <v>0</v>
      </c>
      <c r="Q539" s="15">
        <f t="shared" si="170"/>
        <v>0.13089524089507665</v>
      </c>
      <c r="R539" s="16" t="str">
        <f t="shared" si="171"/>
        <v>AOP</v>
      </c>
      <c r="S539" s="17">
        <f t="shared" si="167"/>
        <v>4337.3473202040777</v>
      </c>
      <c r="T539" s="18" t="e">
        <f t="shared" si="172"/>
        <v>#DIV/0!</v>
      </c>
      <c r="U539" s="23" t="e">
        <f t="shared" si="164"/>
        <v>#DIV/0!</v>
      </c>
      <c r="Y539" s="8" t="str">
        <f t="shared" si="173"/>
        <v>PAUH69199H2.5XT</v>
      </c>
      <c r="Z539" s="8" t="str">
        <f>IF(Y539='Input - Bookings'!Q772,"OK","Check")</f>
        <v>Check</v>
      </c>
      <c r="AA539" s="140"/>
      <c r="AB539" s="71"/>
      <c r="AC539" s="71"/>
      <c r="AD539" s="100">
        <v>17556.914806078225</v>
      </c>
      <c r="AE539" s="100"/>
      <c r="AF539" s="8" t="str">
        <f t="array" ref="AF539">_xlfn.XLOOKUP($G539,'AP Plants'!D:D,'AP Plants'!B:B)</f>
        <v>Class 5 NOT BT</v>
      </c>
      <c r="AG539" s="102">
        <f>AD539*'Currency &amp; Conversion'!$L$6</f>
        <v>26145.757529211693</v>
      </c>
      <c r="AH539" s="102"/>
      <c r="AI539" s="44">
        <v>1.4999999999999999E-2</v>
      </c>
      <c r="AJ539" s="15">
        <f>_xlfn.XLOOKUP($AF539,Warranty!B:B,Warranty!E:E)</f>
        <v>5.0000000000000001E-3</v>
      </c>
      <c r="AK539" s="8">
        <f>IF($I539="AUD",VLOOKUP(RIGHT('Wk - Margins'!$G539,3),'AU Freight'!C:G,5,0),0)</f>
        <v>2130</v>
      </c>
      <c r="AL539" s="15">
        <f t="shared" si="165"/>
        <v>0</v>
      </c>
      <c r="AM539" s="61">
        <f t="shared" si="163"/>
        <v>28798.67267979592</v>
      </c>
      <c r="AN539" s="63">
        <f t="shared" si="166"/>
        <v>0.13089524089507665</v>
      </c>
      <c r="AQ539" s="147"/>
    </row>
    <row r="540" spans="1:43">
      <c r="A540" s="10" t="str">
        <f>'Input - Bookings'!A540</f>
        <v>10-30</v>
      </c>
      <c r="B540" s="11" t="str">
        <f>'Input - Bookings'!C540</f>
        <v>P</v>
      </c>
      <c r="C540" s="11" t="str">
        <f>'Input - Bookings'!H540</f>
        <v>AU</v>
      </c>
      <c r="D540" s="24" t="str">
        <f>'Input - Bookings'!E540</f>
        <v>065</v>
      </c>
      <c r="E540" s="24" t="str">
        <f>'Input - Bookings'!G540</f>
        <v>ADAPT-A-LIFT GROUP (WA)</v>
      </c>
      <c r="F540" s="24" t="str">
        <f>'Input - Bookings'!I540</f>
        <v>H69202</v>
      </c>
      <c r="G540" s="24" t="str">
        <f>'Input - Bookings'!L540</f>
        <v>D466</v>
      </c>
      <c r="H540" s="24" t="str">
        <f>'Input - Bookings'!M540</f>
        <v>H2.5XT</v>
      </c>
      <c r="I540" s="24" t="str">
        <f>'Input - Bookings'!B540</f>
        <v>AUD</v>
      </c>
      <c r="J540" s="13" t="str">
        <f>IF(I540="USD",INDEX('AP Plants'!A:A,MATCH(G540,'AP Plants'!D:D,0)),INDEX('Australia Plants'!A:A,MATCH(G540,'Australia Plants'!D:D,0)))</f>
        <v>SN</v>
      </c>
      <c r="K540" s="73">
        <v>1</v>
      </c>
      <c r="L540" s="97">
        <v>43070</v>
      </c>
      <c r="M540" s="97">
        <v>33136.019999999997</v>
      </c>
      <c r="N540" s="99">
        <v>0.13089524089507665</v>
      </c>
      <c r="O540" s="25">
        <f t="shared" si="169"/>
        <v>0.23064731831901564</v>
      </c>
      <c r="P540" s="14">
        <f>IFERROR(IF(OR(B540&amp;C540="PAU",B540&amp;C540="AIN"),VLOOKUP(B540&amp;C540&amp;G540,#REF!,8,0),VLOOKUP(B540&amp;G540,#REF!,8,0)),0)</f>
        <v>0</v>
      </c>
      <c r="Q540" s="15">
        <f t="shared" si="170"/>
        <v>0.13089524089507665</v>
      </c>
      <c r="R540" s="16" t="str">
        <f t="shared" si="171"/>
        <v>AOP</v>
      </c>
      <c r="S540" s="17">
        <f t="shared" si="167"/>
        <v>4337.3473202040777</v>
      </c>
      <c r="T540" s="18" t="e">
        <f t="shared" si="172"/>
        <v>#DIV/0!</v>
      </c>
      <c r="U540" s="23" t="e">
        <f t="shared" si="164"/>
        <v>#DIV/0!</v>
      </c>
      <c r="Y540" s="8" t="str">
        <f t="shared" si="173"/>
        <v>PAUH69202H2.5XT</v>
      </c>
      <c r="Z540" s="8" t="str">
        <f>IF(Y540='Input - Bookings'!Q773,"OK","Check")</f>
        <v>Check</v>
      </c>
      <c r="AA540" s="140"/>
      <c r="AB540" s="71"/>
      <c r="AC540" s="71"/>
      <c r="AD540" s="100">
        <v>17556.914806078225</v>
      </c>
      <c r="AE540" s="100"/>
      <c r="AF540" s="8" t="str">
        <f t="array" ref="AF540">_xlfn.XLOOKUP($G540,'AP Plants'!D:D,'AP Plants'!B:B)</f>
        <v>Class 5 NOT BT</v>
      </c>
      <c r="AG540" s="102">
        <f>AD540*'Currency &amp; Conversion'!$L$6</f>
        <v>26145.757529211693</v>
      </c>
      <c r="AH540" s="102"/>
      <c r="AI540" s="44">
        <v>1.4999999999999999E-2</v>
      </c>
      <c r="AJ540" s="15">
        <f>_xlfn.XLOOKUP($AF540,Warranty!B:B,Warranty!E:E)</f>
        <v>5.0000000000000001E-3</v>
      </c>
      <c r="AK540" s="8">
        <f>IF($I540="AUD",VLOOKUP(RIGHT('Wk - Margins'!$G540,3),'AU Freight'!C:G,5,0),0)</f>
        <v>2130</v>
      </c>
      <c r="AL540" s="15">
        <f t="shared" si="165"/>
        <v>0</v>
      </c>
      <c r="AM540" s="61">
        <f t="shared" si="163"/>
        <v>28798.67267979592</v>
      </c>
      <c r="AN540" s="63">
        <f t="shared" si="166"/>
        <v>0.13089524089507665</v>
      </c>
      <c r="AQ540" s="147"/>
    </row>
    <row r="541" spans="1:43">
      <c r="A541" s="10" t="str">
        <f>'Input - Bookings'!A541</f>
        <v>10-30</v>
      </c>
      <c r="B541" s="11" t="str">
        <f>'Input - Bookings'!C541</f>
        <v>P</v>
      </c>
      <c r="C541" s="11" t="str">
        <f>'Input - Bookings'!H541</f>
        <v>AU</v>
      </c>
      <c r="D541" s="24" t="str">
        <f>'Input - Bookings'!E541</f>
        <v>065</v>
      </c>
      <c r="E541" s="24" t="str">
        <f>'Input - Bookings'!G541</f>
        <v>ADAPT-A-LIFT GROUP (WA)</v>
      </c>
      <c r="F541" s="24" t="str">
        <f>'Input - Bookings'!I541</f>
        <v>H69204</v>
      </c>
      <c r="G541" s="24" t="str">
        <f>'Input - Bookings'!L541</f>
        <v>D466</v>
      </c>
      <c r="H541" s="24" t="str">
        <f>'Input - Bookings'!M541</f>
        <v>H2.5XT</v>
      </c>
      <c r="I541" s="24" t="str">
        <f>'Input - Bookings'!B541</f>
        <v>AUD</v>
      </c>
      <c r="J541" s="13" t="str">
        <f>IF(I541="USD",INDEX('AP Plants'!A:A,MATCH(G541,'AP Plants'!D:D,0)),INDEX('Australia Plants'!A:A,MATCH(G541,'Australia Plants'!D:D,0)))</f>
        <v>SN</v>
      </c>
      <c r="K541" s="73">
        <v>1</v>
      </c>
      <c r="L541" s="97">
        <v>43070</v>
      </c>
      <c r="M541" s="97">
        <v>33136.019999999997</v>
      </c>
      <c r="N541" s="99">
        <v>0.13089524089507665</v>
      </c>
      <c r="O541" s="25">
        <f t="shared" si="169"/>
        <v>0.23064731831901564</v>
      </c>
      <c r="P541" s="14">
        <f>IFERROR(IF(OR(B541&amp;C541="PAU",B541&amp;C541="AIN"),VLOOKUP(B541&amp;C541&amp;G541,#REF!,8,0),VLOOKUP(B541&amp;G541,#REF!,8,0)),0)</f>
        <v>0</v>
      </c>
      <c r="Q541" s="15">
        <f t="shared" si="170"/>
        <v>0.13089524089507665</v>
      </c>
      <c r="R541" s="16" t="str">
        <f t="shared" si="171"/>
        <v>AOP</v>
      </c>
      <c r="S541" s="17">
        <f t="shared" si="167"/>
        <v>4337.3473202040777</v>
      </c>
      <c r="T541" s="18" t="e">
        <f t="shared" si="172"/>
        <v>#DIV/0!</v>
      </c>
      <c r="U541" s="23" t="e">
        <f t="shared" si="164"/>
        <v>#DIV/0!</v>
      </c>
      <c r="Y541" s="8" t="str">
        <f t="shared" si="173"/>
        <v>PAUH69204H2.5XT</v>
      </c>
      <c r="Z541" s="8" t="str">
        <f>IF(Y541='Input - Bookings'!Q774,"OK","Check")</f>
        <v>Check</v>
      </c>
      <c r="AA541" s="140"/>
      <c r="AB541" s="71"/>
      <c r="AC541" s="71"/>
      <c r="AD541" s="100">
        <v>17556.914806078225</v>
      </c>
      <c r="AE541" s="100"/>
      <c r="AF541" s="8" t="str">
        <f t="array" ref="AF541">_xlfn.XLOOKUP($G541,'AP Plants'!D:D,'AP Plants'!B:B)</f>
        <v>Class 5 NOT BT</v>
      </c>
      <c r="AG541" s="102">
        <f>AD541*'Currency &amp; Conversion'!$L$6</f>
        <v>26145.757529211693</v>
      </c>
      <c r="AH541" s="102"/>
      <c r="AI541" s="44">
        <v>1.4999999999999999E-2</v>
      </c>
      <c r="AJ541" s="15">
        <f>_xlfn.XLOOKUP($AF541,Warranty!B:B,Warranty!E:E)</f>
        <v>5.0000000000000001E-3</v>
      </c>
      <c r="AK541" s="8">
        <f>IF($I541="AUD",VLOOKUP(RIGHT('Wk - Margins'!$G541,3),'AU Freight'!C:G,5,0),0)</f>
        <v>2130</v>
      </c>
      <c r="AL541" s="15">
        <f t="shared" si="165"/>
        <v>0</v>
      </c>
      <c r="AM541" s="61">
        <f t="shared" si="163"/>
        <v>28798.67267979592</v>
      </c>
      <c r="AN541" s="63">
        <f t="shared" si="166"/>
        <v>0.13089524089507665</v>
      </c>
      <c r="AQ541" s="147"/>
    </row>
    <row r="542" spans="1:43">
      <c r="A542" s="10" t="str">
        <f>'Input - Bookings'!A542</f>
        <v>10-30</v>
      </c>
      <c r="B542" s="11" t="str">
        <f>'Input - Bookings'!C542</f>
        <v>P</v>
      </c>
      <c r="C542" s="11" t="str">
        <f>'Input - Bookings'!H542</f>
        <v>AU</v>
      </c>
      <c r="D542" s="24" t="str">
        <f>'Input - Bookings'!E542</f>
        <v>065</v>
      </c>
      <c r="E542" s="24" t="str">
        <f>'Input - Bookings'!G542</f>
        <v>ADAPT-A-LIFT GROUP (WA)</v>
      </c>
      <c r="F542" s="24" t="str">
        <f>'Input - Bookings'!I542</f>
        <v>H69205</v>
      </c>
      <c r="G542" s="24" t="str">
        <f>'Input - Bookings'!L542</f>
        <v>D466</v>
      </c>
      <c r="H542" s="24" t="str">
        <f>'Input - Bookings'!M542</f>
        <v>H2.5XT</v>
      </c>
      <c r="I542" s="24" t="str">
        <f>'Input - Bookings'!B542</f>
        <v>AUD</v>
      </c>
      <c r="J542" s="13" t="str">
        <f>IF(I542="USD",INDEX('AP Plants'!A:A,MATCH(G542,'AP Plants'!D:D,0)),INDEX('Australia Plants'!A:A,MATCH(G542,'Australia Plants'!D:D,0)))</f>
        <v>SN</v>
      </c>
      <c r="K542" s="73">
        <v>1</v>
      </c>
      <c r="L542" s="97">
        <v>43070</v>
      </c>
      <c r="M542" s="97">
        <v>33136.019999999997</v>
      </c>
      <c r="N542" s="99">
        <v>0.13089524089507665</v>
      </c>
      <c r="O542" s="25">
        <f t="shared" si="169"/>
        <v>0.23064731831901564</v>
      </c>
      <c r="P542" s="14">
        <f>IFERROR(IF(OR(B542&amp;C542="PAU",B542&amp;C542="AIN"),VLOOKUP(B542&amp;C542&amp;G542,#REF!,8,0),VLOOKUP(B542&amp;G542,#REF!,8,0)),0)</f>
        <v>0</v>
      </c>
      <c r="Q542" s="15">
        <f t="shared" si="170"/>
        <v>0.13089524089507665</v>
      </c>
      <c r="R542" s="16" t="str">
        <f t="shared" si="171"/>
        <v>AOP</v>
      </c>
      <c r="S542" s="17">
        <f t="shared" si="167"/>
        <v>4337.3473202040777</v>
      </c>
      <c r="T542" s="18" t="e">
        <f t="shared" si="172"/>
        <v>#DIV/0!</v>
      </c>
      <c r="U542" s="23" t="e">
        <f t="shared" si="164"/>
        <v>#DIV/0!</v>
      </c>
      <c r="Y542" s="8" t="str">
        <f t="shared" si="173"/>
        <v>PAUH69205H2.5XT</v>
      </c>
      <c r="Z542" s="8" t="str">
        <f>IF(Y542='Input - Bookings'!Q775,"OK","Check")</f>
        <v>Check</v>
      </c>
      <c r="AA542" s="140"/>
      <c r="AB542" s="71"/>
      <c r="AC542" s="71"/>
      <c r="AD542" s="100">
        <v>17556.914806078225</v>
      </c>
      <c r="AE542" s="100"/>
      <c r="AF542" s="8" t="str">
        <f t="array" ref="AF542">_xlfn.XLOOKUP($G542,'AP Plants'!D:D,'AP Plants'!B:B)</f>
        <v>Class 5 NOT BT</v>
      </c>
      <c r="AG542" s="102">
        <f>AD542*'Currency &amp; Conversion'!$L$6</f>
        <v>26145.757529211693</v>
      </c>
      <c r="AH542" s="102"/>
      <c r="AI542" s="44">
        <v>1.4999999999999999E-2</v>
      </c>
      <c r="AJ542" s="15">
        <f>_xlfn.XLOOKUP($AF542,Warranty!B:B,Warranty!E:E)</f>
        <v>5.0000000000000001E-3</v>
      </c>
      <c r="AK542" s="8">
        <f>IF($I542="AUD",VLOOKUP(RIGHT('Wk - Margins'!$G542,3),'AU Freight'!C:G,5,0),0)</f>
        <v>2130</v>
      </c>
      <c r="AL542" s="15">
        <f t="shared" si="165"/>
        <v>0</v>
      </c>
      <c r="AM542" s="61">
        <f t="shared" si="163"/>
        <v>28798.67267979592</v>
      </c>
      <c r="AN542" s="63">
        <f t="shared" si="166"/>
        <v>0.13089524089507665</v>
      </c>
      <c r="AQ542" s="147"/>
    </row>
    <row r="543" spans="1:43">
      <c r="A543" s="10" t="str">
        <f>'Input - Bookings'!A543</f>
        <v>10-30</v>
      </c>
      <c r="B543" s="11" t="str">
        <f>'Input - Bookings'!C543</f>
        <v>P</v>
      </c>
      <c r="C543" s="11" t="str">
        <f>'Input - Bookings'!H543</f>
        <v>AU</v>
      </c>
      <c r="D543" s="24" t="str">
        <f>'Input - Bookings'!E543</f>
        <v>065</v>
      </c>
      <c r="E543" s="24" t="str">
        <f>'Input - Bookings'!G543</f>
        <v>ADAPT-A-LIFT GROUP (WA)</v>
      </c>
      <c r="F543" s="24" t="str">
        <f>'Input - Bookings'!I543</f>
        <v>H69206</v>
      </c>
      <c r="G543" s="24" t="str">
        <f>'Input - Bookings'!L543</f>
        <v>D466</v>
      </c>
      <c r="H543" s="24" t="str">
        <f>'Input - Bookings'!M543</f>
        <v>H2.5XT</v>
      </c>
      <c r="I543" s="24" t="str">
        <f>'Input - Bookings'!B543</f>
        <v>AUD</v>
      </c>
      <c r="J543" s="13" t="str">
        <f>IF(I543="USD",INDEX('AP Plants'!A:A,MATCH(G543,'AP Plants'!D:D,0)),INDEX('Australia Plants'!A:A,MATCH(G543,'Australia Plants'!D:D,0)))</f>
        <v>SN</v>
      </c>
      <c r="K543" s="73">
        <v>1</v>
      </c>
      <c r="L543" s="97">
        <v>43070</v>
      </c>
      <c r="M543" s="97">
        <v>33136.019999999997</v>
      </c>
      <c r="N543" s="99">
        <v>0.13089524089507665</v>
      </c>
      <c r="O543" s="25">
        <f t="shared" si="169"/>
        <v>0.23064731831901564</v>
      </c>
      <c r="P543" s="14">
        <f>IFERROR(IF(OR(B543&amp;C543="PAU",B543&amp;C543="AIN"),VLOOKUP(B543&amp;C543&amp;G543,#REF!,8,0),VLOOKUP(B543&amp;G543,#REF!,8,0)),0)</f>
        <v>0</v>
      </c>
      <c r="Q543" s="15">
        <f t="shared" si="170"/>
        <v>0.13089524089507665</v>
      </c>
      <c r="R543" s="16" t="str">
        <f t="shared" si="171"/>
        <v>AOP</v>
      </c>
      <c r="S543" s="17">
        <f t="shared" si="167"/>
        <v>4337.3473202040777</v>
      </c>
      <c r="T543" s="18" t="e">
        <f t="shared" si="172"/>
        <v>#DIV/0!</v>
      </c>
      <c r="U543" s="23" t="e">
        <f t="shared" si="164"/>
        <v>#DIV/0!</v>
      </c>
      <c r="Y543" s="8" t="str">
        <f t="shared" si="173"/>
        <v>PAUH69206H2.5XT</v>
      </c>
      <c r="Z543" s="8" t="str">
        <f>IF(Y543='Input - Bookings'!Q776,"OK","Check")</f>
        <v>Check</v>
      </c>
      <c r="AA543" s="140"/>
      <c r="AB543" s="71"/>
      <c r="AC543" s="71"/>
      <c r="AD543" s="100">
        <v>17556.914806078225</v>
      </c>
      <c r="AE543" s="100"/>
      <c r="AF543" s="8" t="str">
        <f t="array" ref="AF543">_xlfn.XLOOKUP($G543,'AP Plants'!D:D,'AP Plants'!B:B)</f>
        <v>Class 5 NOT BT</v>
      </c>
      <c r="AG543" s="102">
        <f>AD543*'Currency &amp; Conversion'!$L$6</f>
        <v>26145.757529211693</v>
      </c>
      <c r="AH543" s="102"/>
      <c r="AI543" s="44">
        <v>1.4999999999999999E-2</v>
      </c>
      <c r="AJ543" s="15">
        <f>_xlfn.XLOOKUP($AF543,Warranty!B:B,Warranty!E:E)</f>
        <v>5.0000000000000001E-3</v>
      </c>
      <c r="AK543" s="8">
        <f>IF($I543="AUD",VLOOKUP(RIGHT('Wk - Margins'!$G543,3),'AU Freight'!C:G,5,0),0)</f>
        <v>2130</v>
      </c>
      <c r="AL543" s="15">
        <f t="shared" si="165"/>
        <v>0</v>
      </c>
      <c r="AM543" s="61">
        <f t="shared" si="163"/>
        <v>28798.67267979592</v>
      </c>
      <c r="AN543" s="63">
        <f t="shared" si="166"/>
        <v>0.13089524089507665</v>
      </c>
      <c r="AQ543" s="147"/>
    </row>
    <row r="544" spans="1:43">
      <c r="A544" s="10" t="str">
        <f>'Input - Bookings'!A544</f>
        <v>10-30</v>
      </c>
      <c r="B544" s="11" t="str">
        <f>'Input - Bookings'!C544</f>
        <v>P</v>
      </c>
      <c r="C544" s="11" t="str">
        <f>'Input - Bookings'!H544</f>
        <v>AU</v>
      </c>
      <c r="D544" s="24" t="str">
        <f>'Input - Bookings'!E544</f>
        <v>065</v>
      </c>
      <c r="E544" s="24" t="str">
        <f>'Input - Bookings'!G544</f>
        <v>ADAPT-A-LIFT GROUP (WA)</v>
      </c>
      <c r="F544" s="24" t="str">
        <f>'Input - Bookings'!I544</f>
        <v>H69207</v>
      </c>
      <c r="G544" s="24" t="str">
        <f>'Input - Bookings'!L544</f>
        <v>D466</v>
      </c>
      <c r="H544" s="24" t="str">
        <f>'Input - Bookings'!M544</f>
        <v>H2.5XT</v>
      </c>
      <c r="I544" s="24" t="str">
        <f>'Input - Bookings'!B544</f>
        <v>AUD</v>
      </c>
      <c r="J544" s="13" t="str">
        <f>IF(I544="USD",INDEX('AP Plants'!A:A,MATCH(G544,'AP Plants'!D:D,0)),INDEX('Australia Plants'!A:A,MATCH(G544,'Australia Plants'!D:D,0)))</f>
        <v>SN</v>
      </c>
      <c r="K544" s="73">
        <v>1</v>
      </c>
      <c r="L544" s="97">
        <v>43070</v>
      </c>
      <c r="M544" s="97">
        <v>33136.019999999997</v>
      </c>
      <c r="N544" s="99">
        <v>0.13089524089507665</v>
      </c>
      <c r="O544" s="25">
        <f t="shared" si="169"/>
        <v>0.23064731831901564</v>
      </c>
      <c r="P544" s="14">
        <f>IFERROR(IF(OR(B544&amp;C544="PAU",B544&amp;C544="AIN"),VLOOKUP(B544&amp;C544&amp;G544,#REF!,8,0),VLOOKUP(B544&amp;G544,#REF!,8,0)),0)</f>
        <v>0</v>
      </c>
      <c r="Q544" s="15">
        <f t="shared" si="170"/>
        <v>0.13089524089507665</v>
      </c>
      <c r="R544" s="16" t="str">
        <f t="shared" si="171"/>
        <v>AOP</v>
      </c>
      <c r="S544" s="17">
        <f t="shared" si="167"/>
        <v>4337.3473202040777</v>
      </c>
      <c r="T544" s="18" t="e">
        <f t="shared" si="172"/>
        <v>#DIV/0!</v>
      </c>
      <c r="U544" s="23" t="e">
        <f t="shared" si="164"/>
        <v>#DIV/0!</v>
      </c>
      <c r="Y544" s="8" t="str">
        <f t="shared" si="173"/>
        <v>PAUH69207H2.5XT</v>
      </c>
      <c r="Z544" s="8" t="str">
        <f>IF(Y544='Input - Bookings'!Q777,"OK","Check")</f>
        <v>Check</v>
      </c>
      <c r="AA544" s="140"/>
      <c r="AB544" s="71"/>
      <c r="AC544" s="71"/>
      <c r="AD544" s="100">
        <v>17556.914806078225</v>
      </c>
      <c r="AE544" s="100"/>
      <c r="AF544" s="8" t="str">
        <f t="array" ref="AF544">_xlfn.XLOOKUP($G544,'AP Plants'!D:D,'AP Plants'!B:B)</f>
        <v>Class 5 NOT BT</v>
      </c>
      <c r="AG544" s="102">
        <f>AD544*'Currency &amp; Conversion'!$L$6</f>
        <v>26145.757529211693</v>
      </c>
      <c r="AH544" s="102"/>
      <c r="AI544" s="44">
        <v>1.4999999999999999E-2</v>
      </c>
      <c r="AJ544" s="15">
        <f>_xlfn.XLOOKUP($AF544,Warranty!B:B,Warranty!E:E)</f>
        <v>5.0000000000000001E-3</v>
      </c>
      <c r="AK544" s="8">
        <f>IF($I544="AUD",VLOOKUP(RIGHT('Wk - Margins'!$G544,3),'AU Freight'!C:G,5,0),0)</f>
        <v>2130</v>
      </c>
      <c r="AL544" s="15">
        <f t="shared" si="165"/>
        <v>0</v>
      </c>
      <c r="AM544" s="61">
        <f t="shared" si="163"/>
        <v>28798.67267979592</v>
      </c>
      <c r="AN544" s="63">
        <f t="shared" si="166"/>
        <v>0.13089524089507665</v>
      </c>
      <c r="AQ544" s="147"/>
    </row>
    <row r="545" spans="1:43">
      <c r="A545" s="10" t="str">
        <f>'Input - Bookings'!A545</f>
        <v>10-30</v>
      </c>
      <c r="B545" s="11" t="str">
        <f>'Input - Bookings'!C545</f>
        <v>P</v>
      </c>
      <c r="C545" s="11" t="str">
        <f>'Input - Bookings'!H545</f>
        <v>AU</v>
      </c>
      <c r="D545" s="24" t="str">
        <f>'Input - Bookings'!E545</f>
        <v>065</v>
      </c>
      <c r="E545" s="24" t="str">
        <f>'Input - Bookings'!G545</f>
        <v>ADAPT-A-LIFT GROUP (WA)</v>
      </c>
      <c r="F545" s="24" t="str">
        <f>'Input - Bookings'!I545</f>
        <v>H69208</v>
      </c>
      <c r="G545" s="24" t="str">
        <f>'Input - Bookings'!L545</f>
        <v>D466</v>
      </c>
      <c r="H545" s="24" t="str">
        <f>'Input - Bookings'!M545</f>
        <v>H2.5XT</v>
      </c>
      <c r="I545" s="24" t="str">
        <f>'Input - Bookings'!B545</f>
        <v>AUD</v>
      </c>
      <c r="J545" s="13" t="str">
        <f>IF(I545="USD",INDEX('AP Plants'!A:A,MATCH(G545,'AP Plants'!D:D,0)),INDEX('Australia Plants'!A:A,MATCH(G545,'Australia Plants'!D:D,0)))</f>
        <v>SN</v>
      </c>
      <c r="K545" s="73">
        <v>1</v>
      </c>
      <c r="L545" s="97">
        <v>43070</v>
      </c>
      <c r="M545" s="97">
        <v>33136.019999999997</v>
      </c>
      <c r="N545" s="99">
        <v>0.13089524089507665</v>
      </c>
      <c r="O545" s="25">
        <f t="shared" si="169"/>
        <v>0.23064731831901564</v>
      </c>
      <c r="P545" s="14">
        <f>IFERROR(IF(OR(B545&amp;C545="PAU",B545&amp;C545="AIN"),VLOOKUP(B545&amp;C545&amp;G545,#REF!,8,0),VLOOKUP(B545&amp;G545,#REF!,8,0)),0)</f>
        <v>0</v>
      </c>
      <c r="Q545" s="15">
        <f t="shared" si="170"/>
        <v>0.13089524089507665</v>
      </c>
      <c r="R545" s="16" t="str">
        <f t="shared" si="171"/>
        <v>AOP</v>
      </c>
      <c r="S545" s="17">
        <f t="shared" si="167"/>
        <v>4337.3473202040777</v>
      </c>
      <c r="T545" s="18" t="e">
        <f t="shared" si="172"/>
        <v>#DIV/0!</v>
      </c>
      <c r="U545" s="23" t="e">
        <f t="shared" si="164"/>
        <v>#DIV/0!</v>
      </c>
      <c r="Y545" s="8" t="str">
        <f t="shared" si="173"/>
        <v>PAUH69208H2.5XT</v>
      </c>
      <c r="Z545" s="8" t="str">
        <f>IF(Y545='Input - Bookings'!Q778,"OK","Check")</f>
        <v>Check</v>
      </c>
      <c r="AA545" s="140"/>
      <c r="AB545" s="71"/>
      <c r="AC545" s="71"/>
      <c r="AD545" s="100">
        <v>17556.914806078225</v>
      </c>
      <c r="AE545" s="100"/>
      <c r="AF545" s="8" t="str">
        <f t="array" ref="AF545">_xlfn.XLOOKUP($G545,'AP Plants'!D:D,'AP Plants'!B:B)</f>
        <v>Class 5 NOT BT</v>
      </c>
      <c r="AG545" s="102">
        <f>AD545*'Currency &amp; Conversion'!$L$6</f>
        <v>26145.757529211693</v>
      </c>
      <c r="AH545" s="102"/>
      <c r="AI545" s="44">
        <v>1.4999999999999999E-2</v>
      </c>
      <c r="AJ545" s="15">
        <f>_xlfn.XLOOKUP($AF545,Warranty!B:B,Warranty!E:E)</f>
        <v>5.0000000000000001E-3</v>
      </c>
      <c r="AK545" s="8">
        <f>IF($I545="AUD",VLOOKUP(RIGHT('Wk - Margins'!$G545,3),'AU Freight'!C:G,5,0),0)</f>
        <v>2130</v>
      </c>
      <c r="AL545" s="15">
        <f t="shared" si="165"/>
        <v>0</v>
      </c>
      <c r="AM545" s="61">
        <f t="shared" si="163"/>
        <v>28798.67267979592</v>
      </c>
      <c r="AN545" s="63">
        <f t="shared" si="166"/>
        <v>0.13089524089507665</v>
      </c>
      <c r="AQ545" s="147"/>
    </row>
    <row r="546" spans="1:43">
      <c r="A546" s="10" t="str">
        <f>'Input - Bookings'!A546</f>
        <v>10-30</v>
      </c>
      <c r="B546" s="11" t="str">
        <f>'Input - Bookings'!C546</f>
        <v>P</v>
      </c>
      <c r="C546" s="11" t="str">
        <f>'Input - Bookings'!H546</f>
        <v>AU</v>
      </c>
      <c r="D546" s="24" t="str">
        <f>'Input - Bookings'!E546</f>
        <v>065</v>
      </c>
      <c r="E546" s="24" t="str">
        <f>'Input - Bookings'!G546</f>
        <v>ADAPT-A-LIFT GROUP (WA)</v>
      </c>
      <c r="F546" s="24" t="str">
        <f>'Input - Bookings'!I546</f>
        <v>H69209</v>
      </c>
      <c r="G546" s="24" t="str">
        <f>'Input - Bookings'!L546</f>
        <v>D466</v>
      </c>
      <c r="H546" s="24" t="str">
        <f>'Input - Bookings'!M546</f>
        <v>H2.5XT</v>
      </c>
      <c r="I546" s="24" t="str">
        <f>'Input - Bookings'!B546</f>
        <v>AUD</v>
      </c>
      <c r="J546" s="13" t="str">
        <f>IF(I546="USD",INDEX('AP Plants'!A:A,MATCH(G546,'AP Plants'!D:D,0)),INDEX('Australia Plants'!A:A,MATCH(G546,'Australia Plants'!D:D,0)))</f>
        <v>SN</v>
      </c>
      <c r="K546" s="73">
        <v>1</v>
      </c>
      <c r="L546" s="97">
        <v>43070</v>
      </c>
      <c r="M546" s="97">
        <v>33136.019999999997</v>
      </c>
      <c r="N546" s="99">
        <v>0.13089524089507665</v>
      </c>
      <c r="O546" s="25">
        <f t="shared" si="169"/>
        <v>0.23064731831901564</v>
      </c>
      <c r="P546" s="14">
        <f>IFERROR(IF(OR(B546&amp;C546="PAU",B546&amp;C546="AIN"),VLOOKUP(B546&amp;C546&amp;G546,#REF!,8,0),VLOOKUP(B546&amp;G546,#REF!,8,0)),0)</f>
        <v>0</v>
      </c>
      <c r="Q546" s="15">
        <f t="shared" si="170"/>
        <v>0.13089524089507665</v>
      </c>
      <c r="R546" s="16" t="str">
        <f t="shared" si="171"/>
        <v>AOP</v>
      </c>
      <c r="S546" s="17">
        <f t="shared" si="167"/>
        <v>4337.3473202040777</v>
      </c>
      <c r="T546" s="18" t="e">
        <f t="shared" si="172"/>
        <v>#DIV/0!</v>
      </c>
      <c r="U546" s="23" t="e">
        <f t="shared" si="164"/>
        <v>#DIV/0!</v>
      </c>
      <c r="Y546" s="8" t="str">
        <f t="shared" si="173"/>
        <v>PAUH69209H2.5XT</v>
      </c>
      <c r="Z546" s="8" t="str">
        <f>IF(Y546='Input - Bookings'!Q779,"OK","Check")</f>
        <v>Check</v>
      </c>
      <c r="AA546" s="140"/>
      <c r="AB546" s="71"/>
      <c r="AC546" s="71"/>
      <c r="AD546" s="100">
        <v>17556.914806078225</v>
      </c>
      <c r="AE546" s="100"/>
      <c r="AF546" s="8" t="str">
        <f t="array" ref="AF546">_xlfn.XLOOKUP($G546,'AP Plants'!D:D,'AP Plants'!B:B)</f>
        <v>Class 5 NOT BT</v>
      </c>
      <c r="AG546" s="102">
        <f>AD546*'Currency &amp; Conversion'!$L$6</f>
        <v>26145.757529211693</v>
      </c>
      <c r="AH546" s="102"/>
      <c r="AI546" s="44">
        <v>1.4999999999999999E-2</v>
      </c>
      <c r="AJ546" s="15">
        <f>_xlfn.XLOOKUP($AF546,Warranty!B:B,Warranty!E:E)</f>
        <v>5.0000000000000001E-3</v>
      </c>
      <c r="AK546" s="8">
        <f>IF($I546="AUD",VLOOKUP(RIGHT('Wk - Margins'!$G546,3),'AU Freight'!C:G,5,0),0)</f>
        <v>2130</v>
      </c>
      <c r="AL546" s="15">
        <f t="shared" si="165"/>
        <v>0</v>
      </c>
      <c r="AM546" s="61">
        <f t="shared" si="163"/>
        <v>28798.67267979592</v>
      </c>
      <c r="AN546" s="63">
        <f t="shared" si="166"/>
        <v>0.13089524089507665</v>
      </c>
      <c r="AQ546" s="147"/>
    </row>
    <row r="547" spans="1:43">
      <c r="A547" s="10" t="str">
        <f>'Input - Bookings'!A547</f>
        <v>10-30</v>
      </c>
      <c r="B547" s="11" t="str">
        <f>'Input - Bookings'!C547</f>
        <v>P</v>
      </c>
      <c r="C547" s="11" t="str">
        <f>'Input - Bookings'!H547</f>
        <v>AU</v>
      </c>
      <c r="D547" s="24" t="str">
        <f>'Input - Bookings'!E547</f>
        <v>065</v>
      </c>
      <c r="E547" s="24" t="str">
        <f>'Input - Bookings'!G547</f>
        <v>ADAPT-A-LIFT GROUP (WA)</v>
      </c>
      <c r="F547" s="24" t="str">
        <f>'Input - Bookings'!I547</f>
        <v>H69210</v>
      </c>
      <c r="G547" s="24" t="str">
        <f>'Input - Bookings'!L547</f>
        <v>D466</v>
      </c>
      <c r="H547" s="24" t="str">
        <f>'Input - Bookings'!M547</f>
        <v>H2.5XT</v>
      </c>
      <c r="I547" s="24" t="str">
        <f>'Input - Bookings'!B547</f>
        <v>AUD</v>
      </c>
      <c r="J547" s="13" t="str">
        <f>IF(I547="USD",INDEX('AP Plants'!A:A,MATCH(G547,'AP Plants'!D:D,0)),INDEX('Australia Plants'!A:A,MATCH(G547,'Australia Plants'!D:D,0)))</f>
        <v>SN</v>
      </c>
      <c r="K547" s="73">
        <v>1</v>
      </c>
      <c r="L547" s="97">
        <v>43070</v>
      </c>
      <c r="M547" s="97">
        <v>33136.019999999997</v>
      </c>
      <c r="N547" s="99">
        <v>0.13089524089507665</v>
      </c>
      <c r="O547" s="25">
        <f t="shared" si="169"/>
        <v>0.23064731831901564</v>
      </c>
      <c r="P547" s="14">
        <f>IFERROR(IF(OR(B547&amp;C547="PAU",B547&amp;C547="AIN"),VLOOKUP(B547&amp;C547&amp;G547,#REF!,8,0),VLOOKUP(B547&amp;G547,#REF!,8,0)),0)</f>
        <v>0</v>
      </c>
      <c r="Q547" s="15">
        <f t="shared" si="170"/>
        <v>0.13089524089507665</v>
      </c>
      <c r="R547" s="16" t="str">
        <f t="shared" si="171"/>
        <v>AOP</v>
      </c>
      <c r="S547" s="17">
        <f t="shared" si="167"/>
        <v>4337.3473202040777</v>
      </c>
      <c r="T547" s="18" t="e">
        <f t="shared" si="172"/>
        <v>#DIV/0!</v>
      </c>
      <c r="U547" s="23" t="e">
        <f t="shared" si="164"/>
        <v>#DIV/0!</v>
      </c>
      <c r="Y547" s="8" t="str">
        <f t="shared" si="173"/>
        <v>PAUH69210H2.5XT</v>
      </c>
      <c r="Z547" s="8" t="str">
        <f>IF(Y547='Input - Bookings'!Q780,"OK","Check")</f>
        <v>Check</v>
      </c>
      <c r="AA547" s="140"/>
      <c r="AB547" s="71"/>
      <c r="AC547" s="71"/>
      <c r="AD547" s="100">
        <v>17556.914806078225</v>
      </c>
      <c r="AE547" s="100"/>
      <c r="AF547" s="8" t="str">
        <f t="array" ref="AF547">_xlfn.XLOOKUP($G547,'AP Plants'!D:D,'AP Plants'!B:B)</f>
        <v>Class 5 NOT BT</v>
      </c>
      <c r="AG547" s="102">
        <f>AD547*'Currency &amp; Conversion'!$L$6</f>
        <v>26145.757529211693</v>
      </c>
      <c r="AH547" s="102"/>
      <c r="AI547" s="44">
        <v>1.4999999999999999E-2</v>
      </c>
      <c r="AJ547" s="15">
        <f>_xlfn.XLOOKUP($AF547,Warranty!B:B,Warranty!E:E)</f>
        <v>5.0000000000000001E-3</v>
      </c>
      <c r="AK547" s="8">
        <f>IF($I547="AUD",VLOOKUP(RIGHT('Wk - Margins'!$G547,3),'AU Freight'!C:G,5,0),0)</f>
        <v>2130</v>
      </c>
      <c r="AL547" s="15">
        <f t="shared" si="165"/>
        <v>0</v>
      </c>
      <c r="AM547" s="61">
        <f t="shared" si="163"/>
        <v>28798.67267979592</v>
      </c>
      <c r="AN547" s="63">
        <f t="shared" si="166"/>
        <v>0.13089524089507665</v>
      </c>
      <c r="AQ547" s="147"/>
    </row>
    <row r="548" spans="1:43">
      <c r="A548" s="10" t="str">
        <f>'Input - Bookings'!A548</f>
        <v>10-30</v>
      </c>
      <c r="B548" s="11" t="str">
        <f>'Input - Bookings'!C548</f>
        <v>P</v>
      </c>
      <c r="C548" s="11" t="str">
        <f>'Input - Bookings'!H548</f>
        <v>AU</v>
      </c>
      <c r="D548" s="24" t="str">
        <f>'Input - Bookings'!E548</f>
        <v>065</v>
      </c>
      <c r="E548" s="24" t="str">
        <f>'Input - Bookings'!G548</f>
        <v>ADAPT-A-LIFT GROUP (WA)</v>
      </c>
      <c r="F548" s="24" t="str">
        <f>'Input - Bookings'!I548</f>
        <v>H69211</v>
      </c>
      <c r="G548" s="24" t="str">
        <f>'Input - Bookings'!L548</f>
        <v>D466</v>
      </c>
      <c r="H548" s="24" t="str">
        <f>'Input - Bookings'!M548</f>
        <v>H2.5XT</v>
      </c>
      <c r="I548" s="24" t="str">
        <f>'Input - Bookings'!B548</f>
        <v>AUD</v>
      </c>
      <c r="J548" s="13" t="str">
        <f>IF(I548="USD",INDEX('AP Plants'!A:A,MATCH(G548,'AP Plants'!D:D,0)),INDEX('Australia Plants'!A:A,MATCH(G548,'Australia Plants'!D:D,0)))</f>
        <v>SN</v>
      </c>
      <c r="K548" s="73">
        <v>1</v>
      </c>
      <c r="L548" s="97">
        <v>43070</v>
      </c>
      <c r="M548" s="97">
        <v>33136.019999999997</v>
      </c>
      <c r="N548" s="99">
        <v>0.13089524089507665</v>
      </c>
      <c r="O548" s="25">
        <f t="shared" si="169"/>
        <v>0.23064731831901564</v>
      </c>
      <c r="P548" s="14">
        <f>IFERROR(IF(OR(B548&amp;C548="PAU",B548&amp;C548="AIN"),VLOOKUP(B548&amp;C548&amp;G548,#REF!,8,0),VLOOKUP(B548&amp;G548,#REF!,8,0)),0)</f>
        <v>0</v>
      </c>
      <c r="Q548" s="15">
        <f t="shared" si="170"/>
        <v>0.13089524089507665</v>
      </c>
      <c r="R548" s="16" t="str">
        <f t="shared" si="171"/>
        <v>AOP</v>
      </c>
      <c r="S548" s="17">
        <f t="shared" si="167"/>
        <v>4337.3473202040777</v>
      </c>
      <c r="T548" s="18" t="e">
        <f t="shared" si="172"/>
        <v>#DIV/0!</v>
      </c>
      <c r="U548" s="23" t="e">
        <f t="shared" si="164"/>
        <v>#DIV/0!</v>
      </c>
      <c r="Y548" s="8" t="str">
        <f t="shared" si="173"/>
        <v>PAUH69211H2.5XT</v>
      </c>
      <c r="Z548" s="8" t="str">
        <f>IF(Y548='Input - Bookings'!Q781,"OK","Check")</f>
        <v>Check</v>
      </c>
      <c r="AA548" s="140"/>
      <c r="AB548" s="71"/>
      <c r="AC548" s="71"/>
      <c r="AD548" s="100">
        <v>17556.914806078225</v>
      </c>
      <c r="AE548" s="100"/>
      <c r="AF548" s="8" t="str">
        <f t="array" ref="AF548">_xlfn.XLOOKUP($G548,'AP Plants'!D:D,'AP Plants'!B:B)</f>
        <v>Class 5 NOT BT</v>
      </c>
      <c r="AG548" s="102">
        <f>AD548*'Currency &amp; Conversion'!$L$6</f>
        <v>26145.757529211693</v>
      </c>
      <c r="AH548" s="102"/>
      <c r="AI548" s="44">
        <v>1.4999999999999999E-2</v>
      </c>
      <c r="AJ548" s="15">
        <f>_xlfn.XLOOKUP($AF548,Warranty!B:B,Warranty!E:E)</f>
        <v>5.0000000000000001E-3</v>
      </c>
      <c r="AK548" s="8">
        <f>IF($I548="AUD",VLOOKUP(RIGHT('Wk - Margins'!$G548,3),'AU Freight'!C:G,5,0),0)</f>
        <v>2130</v>
      </c>
      <c r="AL548" s="15">
        <f t="shared" si="165"/>
        <v>0</v>
      </c>
      <c r="AM548" s="61">
        <f t="shared" si="163"/>
        <v>28798.67267979592</v>
      </c>
      <c r="AN548" s="63">
        <f t="shared" si="166"/>
        <v>0.13089524089507665</v>
      </c>
      <c r="AQ548" s="147"/>
    </row>
    <row r="549" spans="1:43">
      <c r="A549" s="10" t="str">
        <f>'Input - Bookings'!A549</f>
        <v>10-30</v>
      </c>
      <c r="B549" s="11" t="str">
        <f>'Input - Bookings'!C549</f>
        <v>P</v>
      </c>
      <c r="C549" s="11" t="str">
        <f>'Input - Bookings'!H549</f>
        <v>AU</v>
      </c>
      <c r="D549" s="24" t="str">
        <f>'Input - Bookings'!E549</f>
        <v>065</v>
      </c>
      <c r="E549" s="24" t="str">
        <f>'Input - Bookings'!G549</f>
        <v>ADAPT-A-LIFT GROUP (WA)</v>
      </c>
      <c r="F549" s="24" t="str">
        <f>'Input - Bookings'!I549</f>
        <v>H69212</v>
      </c>
      <c r="G549" s="24" t="str">
        <f>'Input - Bookings'!L549</f>
        <v>D466</v>
      </c>
      <c r="H549" s="24" t="str">
        <f>'Input - Bookings'!M549</f>
        <v>H2.5XT</v>
      </c>
      <c r="I549" s="24" t="str">
        <f>'Input - Bookings'!B549</f>
        <v>AUD</v>
      </c>
      <c r="J549" s="13" t="str">
        <f>IF(I549="USD",INDEX('AP Plants'!A:A,MATCH(G549,'AP Plants'!D:D,0)),INDEX('Australia Plants'!A:A,MATCH(G549,'Australia Plants'!D:D,0)))</f>
        <v>SN</v>
      </c>
      <c r="K549" s="73">
        <v>1</v>
      </c>
      <c r="L549" s="97">
        <v>43070</v>
      </c>
      <c r="M549" s="97">
        <v>33136.019999999997</v>
      </c>
      <c r="N549" s="99">
        <v>0.13089524089507665</v>
      </c>
      <c r="O549" s="25">
        <f t="shared" si="169"/>
        <v>0.23064731831901564</v>
      </c>
      <c r="P549" s="14">
        <f>IFERROR(IF(OR(B549&amp;C549="PAU",B549&amp;C549="AIN"),VLOOKUP(B549&amp;C549&amp;G549,#REF!,8,0),VLOOKUP(B549&amp;G549,#REF!,8,0)),0)</f>
        <v>0</v>
      </c>
      <c r="Q549" s="15">
        <f t="shared" si="170"/>
        <v>0.13089524089507665</v>
      </c>
      <c r="R549" s="16" t="str">
        <f t="shared" si="171"/>
        <v>AOP</v>
      </c>
      <c r="S549" s="17">
        <f t="shared" si="167"/>
        <v>4337.3473202040777</v>
      </c>
      <c r="T549" s="18" t="e">
        <f t="shared" si="172"/>
        <v>#DIV/0!</v>
      </c>
      <c r="U549" s="23" t="e">
        <f t="shared" si="164"/>
        <v>#DIV/0!</v>
      </c>
      <c r="Y549" s="8" t="str">
        <f t="shared" si="173"/>
        <v>PAUH69212H2.5XT</v>
      </c>
      <c r="Z549" s="8" t="str">
        <f>IF(Y549='Input - Bookings'!Q782,"OK","Check")</f>
        <v>Check</v>
      </c>
      <c r="AA549" s="140"/>
      <c r="AB549" s="71"/>
      <c r="AC549" s="71"/>
      <c r="AD549" s="100">
        <v>17556.914806078225</v>
      </c>
      <c r="AE549" s="100"/>
      <c r="AF549" s="8" t="str">
        <f t="array" ref="AF549">_xlfn.XLOOKUP($G549,'AP Plants'!D:D,'AP Plants'!B:B)</f>
        <v>Class 5 NOT BT</v>
      </c>
      <c r="AG549" s="102">
        <f>AD549*'Currency &amp; Conversion'!$L$6</f>
        <v>26145.757529211693</v>
      </c>
      <c r="AH549" s="102"/>
      <c r="AI549" s="44">
        <v>1.4999999999999999E-2</v>
      </c>
      <c r="AJ549" s="15">
        <f>_xlfn.XLOOKUP($AF549,Warranty!B:B,Warranty!E:E)</f>
        <v>5.0000000000000001E-3</v>
      </c>
      <c r="AK549" s="8">
        <f>IF($I549="AUD",VLOOKUP(RIGHT('Wk - Margins'!$G549,3),'AU Freight'!C:G,5,0),0)</f>
        <v>2130</v>
      </c>
      <c r="AL549" s="15">
        <f t="shared" si="165"/>
        <v>0</v>
      </c>
      <c r="AM549" s="61">
        <f t="shared" si="163"/>
        <v>28798.67267979592</v>
      </c>
      <c r="AN549" s="63">
        <f t="shared" si="166"/>
        <v>0.13089524089507665</v>
      </c>
      <c r="AQ549" s="147"/>
    </row>
    <row r="550" spans="1:43">
      <c r="A550" s="10" t="str">
        <f>'Input - Bookings'!A550</f>
        <v>10-30</v>
      </c>
      <c r="B550" s="11" t="str">
        <f>'Input - Bookings'!C550</f>
        <v>P</v>
      </c>
      <c r="C550" s="11" t="str">
        <f>'Input - Bookings'!H550</f>
        <v>AU</v>
      </c>
      <c r="D550" s="24" t="str">
        <f>'Input - Bookings'!E550</f>
        <v>065</v>
      </c>
      <c r="E550" s="24" t="str">
        <f>'Input - Bookings'!G550</f>
        <v>ADAPT-A-LIFT GROUP (WA)</v>
      </c>
      <c r="F550" s="24" t="str">
        <f>'Input - Bookings'!I550</f>
        <v>H69213</v>
      </c>
      <c r="G550" s="24" t="str">
        <f>'Input - Bookings'!L550</f>
        <v>D466</v>
      </c>
      <c r="H550" s="24" t="str">
        <f>'Input - Bookings'!M550</f>
        <v>H2.5XT</v>
      </c>
      <c r="I550" s="24" t="str">
        <f>'Input - Bookings'!B550</f>
        <v>AUD</v>
      </c>
      <c r="J550" s="13" t="str">
        <f>IF(I550="USD",INDEX('AP Plants'!A:A,MATCH(G550,'AP Plants'!D:D,0)),INDEX('Australia Plants'!A:A,MATCH(G550,'Australia Plants'!D:D,0)))</f>
        <v>SN</v>
      </c>
      <c r="K550" s="73">
        <v>1</v>
      </c>
      <c r="L550" s="97">
        <v>43070</v>
      </c>
      <c r="M550" s="97">
        <v>33136.019999999997</v>
      </c>
      <c r="N550" s="99">
        <v>0.13089524089507665</v>
      </c>
      <c r="O550" s="25">
        <f t="shared" si="169"/>
        <v>0.23064731831901564</v>
      </c>
      <c r="P550" s="14">
        <f>IFERROR(IF(OR(B550&amp;C550="PAU",B550&amp;C550="AIN"),VLOOKUP(B550&amp;C550&amp;G550,#REF!,8,0),VLOOKUP(B550&amp;G550,#REF!,8,0)),0)</f>
        <v>0</v>
      </c>
      <c r="Q550" s="15">
        <f t="shared" si="170"/>
        <v>0.13089524089507665</v>
      </c>
      <c r="R550" s="16" t="str">
        <f t="shared" si="171"/>
        <v>AOP</v>
      </c>
      <c r="S550" s="17">
        <f t="shared" si="167"/>
        <v>4337.3473202040777</v>
      </c>
      <c r="T550" s="18" t="e">
        <f t="shared" si="172"/>
        <v>#DIV/0!</v>
      </c>
      <c r="U550" s="23" t="e">
        <f t="shared" si="164"/>
        <v>#DIV/0!</v>
      </c>
      <c r="Y550" s="8" t="str">
        <f t="shared" si="173"/>
        <v>PAUH69213H2.5XT</v>
      </c>
      <c r="Z550" s="8" t="str">
        <f>IF(Y550='Input - Bookings'!Q783,"OK","Check")</f>
        <v>Check</v>
      </c>
      <c r="AA550" s="140"/>
      <c r="AB550" s="71"/>
      <c r="AC550" s="71"/>
      <c r="AD550" s="100">
        <v>17556.914806078225</v>
      </c>
      <c r="AE550" s="100"/>
      <c r="AF550" s="8" t="str">
        <f t="array" ref="AF550">_xlfn.XLOOKUP($G550,'AP Plants'!D:D,'AP Plants'!B:B)</f>
        <v>Class 5 NOT BT</v>
      </c>
      <c r="AG550" s="102">
        <f>AD550*'Currency &amp; Conversion'!$L$6</f>
        <v>26145.757529211693</v>
      </c>
      <c r="AH550" s="102"/>
      <c r="AI550" s="44">
        <v>1.4999999999999999E-2</v>
      </c>
      <c r="AJ550" s="15">
        <f>_xlfn.XLOOKUP($AF550,Warranty!B:B,Warranty!E:E)</f>
        <v>5.0000000000000001E-3</v>
      </c>
      <c r="AK550" s="8">
        <f>IF($I550="AUD",VLOOKUP(RIGHT('Wk - Margins'!$G550,3),'AU Freight'!C:G,5,0),0)</f>
        <v>2130</v>
      </c>
      <c r="AL550" s="15">
        <f t="shared" si="165"/>
        <v>0</v>
      </c>
      <c r="AM550" s="61">
        <f t="shared" si="163"/>
        <v>28798.67267979592</v>
      </c>
      <c r="AN550" s="63">
        <f t="shared" si="166"/>
        <v>0.13089524089507665</v>
      </c>
      <c r="AQ550" s="147"/>
    </row>
    <row r="551" spans="1:43">
      <c r="A551" s="10" t="str">
        <f>'Input - Bookings'!A551</f>
        <v>10-30</v>
      </c>
      <c r="B551" s="11" t="str">
        <f>'Input - Bookings'!C551</f>
        <v>P</v>
      </c>
      <c r="C551" s="11" t="str">
        <f>'Input - Bookings'!H551</f>
        <v>AU</v>
      </c>
      <c r="D551" s="24" t="str">
        <f>'Input - Bookings'!E551</f>
        <v>065</v>
      </c>
      <c r="E551" s="24" t="str">
        <f>'Input - Bookings'!G551</f>
        <v>ADAPT-A-LIFT GROUP (WA)</v>
      </c>
      <c r="F551" s="24" t="str">
        <f>'Input - Bookings'!I551</f>
        <v>H69214</v>
      </c>
      <c r="G551" s="24" t="str">
        <f>'Input - Bookings'!L551</f>
        <v>D466</v>
      </c>
      <c r="H551" s="24" t="str">
        <f>'Input - Bookings'!M551</f>
        <v>H2.5XT</v>
      </c>
      <c r="I551" s="24" t="str">
        <f>'Input - Bookings'!B551</f>
        <v>AUD</v>
      </c>
      <c r="J551" s="13" t="str">
        <f>IF(I551="USD",INDEX('AP Plants'!A:A,MATCH(G551,'AP Plants'!D:D,0)),INDEX('Australia Plants'!A:A,MATCH(G551,'Australia Plants'!D:D,0)))</f>
        <v>SN</v>
      </c>
      <c r="K551" s="73">
        <v>1</v>
      </c>
      <c r="L551" s="97">
        <v>43070</v>
      </c>
      <c r="M551" s="97">
        <v>33136.019999999997</v>
      </c>
      <c r="N551" s="99">
        <v>0.13089524089507665</v>
      </c>
      <c r="O551" s="25">
        <f t="shared" si="169"/>
        <v>0.23064731831901564</v>
      </c>
      <c r="P551" s="14">
        <f>IFERROR(IF(OR(B551&amp;C551="PAU",B551&amp;C551="AIN"),VLOOKUP(B551&amp;C551&amp;G551,#REF!,8,0),VLOOKUP(B551&amp;G551,#REF!,8,0)),0)</f>
        <v>0</v>
      </c>
      <c r="Q551" s="15">
        <f t="shared" si="170"/>
        <v>0.13089524089507665</v>
      </c>
      <c r="R551" s="16" t="str">
        <f t="shared" si="171"/>
        <v>AOP</v>
      </c>
      <c r="S551" s="17">
        <f t="shared" si="167"/>
        <v>4337.3473202040777</v>
      </c>
      <c r="T551" s="18" t="e">
        <f t="shared" si="172"/>
        <v>#DIV/0!</v>
      </c>
      <c r="U551" s="23" t="e">
        <f t="shared" si="164"/>
        <v>#DIV/0!</v>
      </c>
      <c r="Y551" s="8" t="str">
        <f t="shared" si="173"/>
        <v>PAUH69214H2.5XT</v>
      </c>
      <c r="Z551" s="8" t="str">
        <f>IF(Y551='Input - Bookings'!Q784,"OK","Check")</f>
        <v>Check</v>
      </c>
      <c r="AA551" s="140"/>
      <c r="AB551" s="71"/>
      <c r="AC551" s="71"/>
      <c r="AD551" s="100">
        <v>17556.914806078225</v>
      </c>
      <c r="AE551" s="100"/>
      <c r="AF551" s="8" t="str">
        <f t="array" ref="AF551">_xlfn.XLOOKUP($G551,'AP Plants'!D:D,'AP Plants'!B:B)</f>
        <v>Class 5 NOT BT</v>
      </c>
      <c r="AG551" s="102">
        <f>AD551*'Currency &amp; Conversion'!$L$6</f>
        <v>26145.757529211693</v>
      </c>
      <c r="AH551" s="102"/>
      <c r="AI551" s="44">
        <v>1.4999999999999999E-2</v>
      </c>
      <c r="AJ551" s="15">
        <f>_xlfn.XLOOKUP($AF551,Warranty!B:B,Warranty!E:E)</f>
        <v>5.0000000000000001E-3</v>
      </c>
      <c r="AK551" s="8">
        <f>IF($I551="AUD",VLOOKUP(RIGHT('Wk - Margins'!$G551,3),'AU Freight'!C:G,5,0),0)</f>
        <v>2130</v>
      </c>
      <c r="AL551" s="15">
        <f t="shared" si="165"/>
        <v>0</v>
      </c>
      <c r="AM551" s="61">
        <f t="shared" si="163"/>
        <v>28798.67267979592</v>
      </c>
      <c r="AN551" s="63">
        <f t="shared" si="166"/>
        <v>0.13089524089507665</v>
      </c>
      <c r="AQ551" s="147"/>
    </row>
    <row r="552" spans="1:43">
      <c r="A552" s="10" t="str">
        <f>'Input - Bookings'!A552</f>
        <v>10-30</v>
      </c>
      <c r="B552" s="11" t="str">
        <f>'Input - Bookings'!C552</f>
        <v>P</v>
      </c>
      <c r="C552" s="11" t="str">
        <f>'Input - Bookings'!H552</f>
        <v>AU</v>
      </c>
      <c r="D552" s="24" t="str">
        <f>'Input - Bookings'!E552</f>
        <v>065</v>
      </c>
      <c r="E552" s="24" t="str">
        <f>'Input - Bookings'!G552</f>
        <v>ADAPT-A-LIFT GROUP (WA)</v>
      </c>
      <c r="F552" s="24" t="str">
        <f>'Input - Bookings'!I552</f>
        <v>H69215</v>
      </c>
      <c r="G552" s="24" t="str">
        <f>'Input - Bookings'!L552</f>
        <v>D466</v>
      </c>
      <c r="H552" s="24" t="str">
        <f>'Input - Bookings'!M552</f>
        <v>H2.5XT</v>
      </c>
      <c r="I552" s="24" t="str">
        <f>'Input - Bookings'!B552</f>
        <v>AUD</v>
      </c>
      <c r="J552" s="13" t="str">
        <f>IF(I552="USD",INDEX('AP Plants'!A:A,MATCH(G552,'AP Plants'!D:D,0)),INDEX('Australia Plants'!A:A,MATCH(G552,'Australia Plants'!D:D,0)))</f>
        <v>SN</v>
      </c>
      <c r="K552" s="73">
        <v>1</v>
      </c>
      <c r="L552" s="97">
        <v>43070</v>
      </c>
      <c r="M552" s="97">
        <v>33136.019999999997</v>
      </c>
      <c r="N552" s="99">
        <v>0.13089524089507665</v>
      </c>
      <c r="O552" s="25">
        <f t="shared" si="169"/>
        <v>0.23064731831901564</v>
      </c>
      <c r="P552" s="14">
        <f>IFERROR(IF(OR(B552&amp;C552="PAU",B552&amp;C552="AIN"),VLOOKUP(B552&amp;C552&amp;G552,#REF!,8,0),VLOOKUP(B552&amp;G552,#REF!,8,0)),0)</f>
        <v>0</v>
      </c>
      <c r="Q552" s="15">
        <f t="shared" si="170"/>
        <v>0.13089524089507665</v>
      </c>
      <c r="R552" s="16" t="str">
        <f t="shared" si="171"/>
        <v>AOP</v>
      </c>
      <c r="S552" s="17">
        <f t="shared" si="167"/>
        <v>4337.3473202040777</v>
      </c>
      <c r="T552" s="18" t="e">
        <f t="shared" si="172"/>
        <v>#DIV/0!</v>
      </c>
      <c r="U552" s="23" t="e">
        <f t="shared" si="164"/>
        <v>#DIV/0!</v>
      </c>
      <c r="Y552" s="8" t="str">
        <f t="shared" si="173"/>
        <v>PAUH69215H2.5XT</v>
      </c>
      <c r="Z552" s="8" t="str">
        <f>IF(Y552='Input - Bookings'!Q785,"OK","Check")</f>
        <v>Check</v>
      </c>
      <c r="AA552" s="140"/>
      <c r="AB552" s="71"/>
      <c r="AC552" s="71"/>
      <c r="AD552" s="100">
        <v>17556.914806078225</v>
      </c>
      <c r="AE552" s="100"/>
      <c r="AF552" s="8" t="str">
        <f t="array" ref="AF552">_xlfn.XLOOKUP($G552,'AP Plants'!D:D,'AP Plants'!B:B)</f>
        <v>Class 5 NOT BT</v>
      </c>
      <c r="AG552" s="102">
        <f>AD552*'Currency &amp; Conversion'!$L$6</f>
        <v>26145.757529211693</v>
      </c>
      <c r="AH552" s="102"/>
      <c r="AI552" s="44">
        <v>1.4999999999999999E-2</v>
      </c>
      <c r="AJ552" s="15">
        <f>_xlfn.XLOOKUP($AF552,Warranty!B:B,Warranty!E:E)</f>
        <v>5.0000000000000001E-3</v>
      </c>
      <c r="AK552" s="8">
        <f>IF($I552="AUD",VLOOKUP(RIGHT('Wk - Margins'!$G552,3),'AU Freight'!C:G,5,0),0)</f>
        <v>2130</v>
      </c>
      <c r="AL552" s="15">
        <f t="shared" si="165"/>
        <v>0</v>
      </c>
      <c r="AM552" s="61">
        <f t="shared" si="163"/>
        <v>28798.67267979592</v>
      </c>
      <c r="AN552" s="63">
        <f t="shared" si="166"/>
        <v>0.13089524089507665</v>
      </c>
      <c r="AQ552" s="147"/>
    </row>
    <row r="553" spans="1:43">
      <c r="A553" s="10" t="str">
        <f>'Input - Bookings'!A553</f>
        <v>10-30</v>
      </c>
      <c r="B553" s="11" t="str">
        <f>'Input - Bookings'!C553</f>
        <v>P</v>
      </c>
      <c r="C553" s="11" t="str">
        <f>'Input - Bookings'!H553</f>
        <v>AU</v>
      </c>
      <c r="D553" s="24" t="str">
        <f>'Input - Bookings'!E553</f>
        <v>065</v>
      </c>
      <c r="E553" s="24" t="str">
        <f>'Input - Bookings'!G553</f>
        <v>ADAPT-A-LIFT GROUP (WA)</v>
      </c>
      <c r="F553" s="24" t="str">
        <f>'Input - Bookings'!I553</f>
        <v>H69216</v>
      </c>
      <c r="G553" s="24" t="str">
        <f>'Input - Bookings'!L553</f>
        <v>D466</v>
      </c>
      <c r="H553" s="24" t="str">
        <f>'Input - Bookings'!M553</f>
        <v>H2.5XT</v>
      </c>
      <c r="I553" s="24" t="str">
        <f>'Input - Bookings'!B553</f>
        <v>AUD</v>
      </c>
      <c r="J553" s="13" t="str">
        <f>IF(I553="USD",INDEX('AP Plants'!A:A,MATCH(G553,'AP Plants'!D:D,0)),INDEX('Australia Plants'!A:A,MATCH(G553,'Australia Plants'!D:D,0)))</f>
        <v>SN</v>
      </c>
      <c r="K553" s="73">
        <v>1</v>
      </c>
      <c r="L553" s="97">
        <v>43070</v>
      </c>
      <c r="M553" s="97">
        <v>33136.019999999997</v>
      </c>
      <c r="N553" s="99">
        <v>0.13089524089507665</v>
      </c>
      <c r="O553" s="25">
        <f t="shared" si="169"/>
        <v>0.23064731831901564</v>
      </c>
      <c r="P553" s="14">
        <f>IFERROR(IF(OR(B553&amp;C553="PAU",B553&amp;C553="AIN"),VLOOKUP(B553&amp;C553&amp;G553,#REF!,8,0),VLOOKUP(B553&amp;G553,#REF!,8,0)),0)</f>
        <v>0</v>
      </c>
      <c r="Q553" s="15">
        <f t="shared" si="170"/>
        <v>0.13089524089507665</v>
      </c>
      <c r="R553" s="16" t="str">
        <f t="shared" si="171"/>
        <v>AOP</v>
      </c>
      <c r="S553" s="17">
        <f t="shared" si="167"/>
        <v>4337.3473202040777</v>
      </c>
      <c r="T553" s="18" t="e">
        <f t="shared" si="172"/>
        <v>#DIV/0!</v>
      </c>
      <c r="U553" s="23" t="e">
        <f t="shared" si="164"/>
        <v>#DIV/0!</v>
      </c>
      <c r="Y553" s="8" t="str">
        <f t="shared" si="173"/>
        <v>PAUH69216H2.5XT</v>
      </c>
      <c r="Z553" s="8" t="str">
        <f>IF(Y553='Input - Bookings'!Q786,"OK","Check")</f>
        <v>Check</v>
      </c>
      <c r="AA553" s="140"/>
      <c r="AB553" s="71"/>
      <c r="AC553" s="71"/>
      <c r="AD553" s="100">
        <v>17556.914806078225</v>
      </c>
      <c r="AE553" s="100"/>
      <c r="AF553" s="8" t="str">
        <f t="array" ref="AF553">_xlfn.XLOOKUP($G553,'AP Plants'!D:D,'AP Plants'!B:B)</f>
        <v>Class 5 NOT BT</v>
      </c>
      <c r="AG553" s="102">
        <f>AD553*'Currency &amp; Conversion'!$L$6</f>
        <v>26145.757529211693</v>
      </c>
      <c r="AH553" s="102"/>
      <c r="AI553" s="44">
        <v>1.4999999999999999E-2</v>
      </c>
      <c r="AJ553" s="15">
        <f>_xlfn.XLOOKUP($AF553,Warranty!B:B,Warranty!E:E)</f>
        <v>5.0000000000000001E-3</v>
      </c>
      <c r="AK553" s="8">
        <f>IF($I553="AUD",VLOOKUP(RIGHT('Wk - Margins'!$G553,3),'AU Freight'!C:G,5,0),0)</f>
        <v>2130</v>
      </c>
      <c r="AL553" s="15">
        <f t="shared" si="165"/>
        <v>0</v>
      </c>
      <c r="AM553" s="61">
        <f t="shared" si="163"/>
        <v>28798.67267979592</v>
      </c>
      <c r="AN553" s="63">
        <f t="shared" si="166"/>
        <v>0.13089524089507665</v>
      </c>
      <c r="AQ553" s="147"/>
    </row>
    <row r="554" spans="1:43">
      <c r="A554" s="10" t="str">
        <f>'Input - Bookings'!A554</f>
        <v>10-30</v>
      </c>
      <c r="B554" s="11" t="str">
        <f>'Input - Bookings'!C554</f>
        <v>P</v>
      </c>
      <c r="C554" s="11" t="str">
        <f>'Input - Bookings'!H554</f>
        <v>AU</v>
      </c>
      <c r="D554" s="24" t="str">
        <f>'Input - Bookings'!E554</f>
        <v>065</v>
      </c>
      <c r="E554" s="24" t="str">
        <f>'Input - Bookings'!G554</f>
        <v>ADAPT-A-LIFT GROUP (WA)</v>
      </c>
      <c r="F554" s="24" t="str">
        <f>'Input - Bookings'!I554</f>
        <v>H69217</v>
      </c>
      <c r="G554" s="24" t="str">
        <f>'Input - Bookings'!L554</f>
        <v>D466</v>
      </c>
      <c r="H554" s="24" t="str">
        <f>'Input - Bookings'!M554</f>
        <v>H2.5XT</v>
      </c>
      <c r="I554" s="24" t="str">
        <f>'Input - Bookings'!B554</f>
        <v>AUD</v>
      </c>
      <c r="J554" s="13" t="str">
        <f>IF(I554="USD",INDEX('AP Plants'!A:A,MATCH(G554,'AP Plants'!D:D,0)),INDEX('Australia Plants'!A:A,MATCH(G554,'Australia Plants'!D:D,0)))</f>
        <v>SN</v>
      </c>
      <c r="K554" s="73">
        <v>1</v>
      </c>
      <c r="L554" s="97">
        <v>43070</v>
      </c>
      <c r="M554" s="97">
        <v>33136.019999999997</v>
      </c>
      <c r="N554" s="99">
        <v>0.13089524089507665</v>
      </c>
      <c r="O554" s="25">
        <f t="shared" si="169"/>
        <v>0.23064731831901564</v>
      </c>
      <c r="P554" s="14">
        <f>IFERROR(IF(OR(B554&amp;C554="PAU",B554&amp;C554="AIN"),VLOOKUP(B554&amp;C554&amp;G554,#REF!,8,0),VLOOKUP(B554&amp;G554,#REF!,8,0)),0)</f>
        <v>0</v>
      </c>
      <c r="Q554" s="15">
        <f t="shared" si="170"/>
        <v>0.13089524089507665</v>
      </c>
      <c r="R554" s="16" t="str">
        <f t="shared" si="171"/>
        <v>AOP</v>
      </c>
      <c r="S554" s="17">
        <f t="shared" si="167"/>
        <v>4337.3473202040777</v>
      </c>
      <c r="T554" s="18" t="e">
        <f t="shared" si="172"/>
        <v>#DIV/0!</v>
      </c>
      <c r="U554" s="23" t="e">
        <f t="shared" si="164"/>
        <v>#DIV/0!</v>
      </c>
      <c r="Y554" s="8" t="str">
        <f t="shared" si="173"/>
        <v>PAUH69217H2.5XT</v>
      </c>
      <c r="Z554" s="8" t="str">
        <f>IF(Y554='Input - Bookings'!Q787,"OK","Check")</f>
        <v>Check</v>
      </c>
      <c r="AA554" s="140"/>
      <c r="AB554" s="71"/>
      <c r="AC554" s="71"/>
      <c r="AD554" s="100">
        <v>17556.914806078225</v>
      </c>
      <c r="AE554" s="100"/>
      <c r="AF554" s="8" t="str">
        <f t="array" ref="AF554">_xlfn.XLOOKUP($G554,'AP Plants'!D:D,'AP Plants'!B:B)</f>
        <v>Class 5 NOT BT</v>
      </c>
      <c r="AG554" s="102">
        <f>AD554*'Currency &amp; Conversion'!$L$6</f>
        <v>26145.757529211693</v>
      </c>
      <c r="AH554" s="102"/>
      <c r="AI554" s="44">
        <v>1.4999999999999999E-2</v>
      </c>
      <c r="AJ554" s="15">
        <f>_xlfn.XLOOKUP($AF554,Warranty!B:B,Warranty!E:E)</f>
        <v>5.0000000000000001E-3</v>
      </c>
      <c r="AK554" s="8">
        <f>IF($I554="AUD",VLOOKUP(RIGHT('Wk - Margins'!$G554,3),'AU Freight'!C:G,5,0),0)</f>
        <v>2130</v>
      </c>
      <c r="AL554" s="15">
        <f t="shared" si="165"/>
        <v>0</v>
      </c>
      <c r="AM554" s="61">
        <f t="shared" si="163"/>
        <v>28798.67267979592</v>
      </c>
      <c r="AN554" s="63">
        <f t="shared" si="166"/>
        <v>0.13089524089507665</v>
      </c>
      <c r="AQ554" s="147"/>
    </row>
    <row r="555" spans="1:43">
      <c r="A555" s="10" t="str">
        <f>'Input - Bookings'!A555</f>
        <v>10-30</v>
      </c>
      <c r="B555" s="11" t="str">
        <f>'Input - Bookings'!C555</f>
        <v>P</v>
      </c>
      <c r="C555" s="11" t="str">
        <f>'Input - Bookings'!H555</f>
        <v>AU</v>
      </c>
      <c r="D555" s="24" t="str">
        <f>'Input - Bookings'!E555</f>
        <v>065</v>
      </c>
      <c r="E555" s="24" t="str">
        <f>'Input - Bookings'!G555</f>
        <v>ADAPT-A-LIFT GROUP (WA)</v>
      </c>
      <c r="F555" s="24" t="str">
        <f>'Input - Bookings'!I555</f>
        <v>H69218</v>
      </c>
      <c r="G555" s="24" t="str">
        <f>'Input - Bookings'!L555</f>
        <v>D466</v>
      </c>
      <c r="H555" s="24" t="str">
        <f>'Input - Bookings'!M555</f>
        <v>H2.5XT</v>
      </c>
      <c r="I555" s="24" t="str">
        <f>'Input - Bookings'!B555</f>
        <v>AUD</v>
      </c>
      <c r="J555" s="13" t="str">
        <f>IF(I555="USD",INDEX('AP Plants'!A:A,MATCH(G555,'AP Plants'!D:D,0)),INDEX('Australia Plants'!A:A,MATCH(G555,'Australia Plants'!D:D,0)))</f>
        <v>SN</v>
      </c>
      <c r="K555" s="73">
        <v>1</v>
      </c>
      <c r="L555" s="97">
        <v>43070</v>
      </c>
      <c r="M555" s="97">
        <v>33136.019999999997</v>
      </c>
      <c r="N555" s="99">
        <v>0.13089524089507665</v>
      </c>
      <c r="O555" s="25">
        <f t="shared" si="169"/>
        <v>0.23064731831901564</v>
      </c>
      <c r="P555" s="14">
        <f>IFERROR(IF(OR(B555&amp;C555="PAU",B555&amp;C555="AIN"),VLOOKUP(B555&amp;C555&amp;G555,#REF!,8,0),VLOOKUP(B555&amp;G555,#REF!,8,0)),0)</f>
        <v>0</v>
      </c>
      <c r="Q555" s="15">
        <f t="shared" si="170"/>
        <v>0.13089524089507665</v>
      </c>
      <c r="R555" s="16" t="str">
        <f t="shared" si="171"/>
        <v>AOP</v>
      </c>
      <c r="S555" s="17">
        <f t="shared" si="167"/>
        <v>4337.3473202040777</v>
      </c>
      <c r="T555" s="18" t="e">
        <f t="shared" si="172"/>
        <v>#DIV/0!</v>
      </c>
      <c r="U555" s="23" t="e">
        <f t="shared" si="164"/>
        <v>#DIV/0!</v>
      </c>
      <c r="Y555" s="8" t="str">
        <f t="shared" si="173"/>
        <v>PAUH69218H2.5XT</v>
      </c>
      <c r="Z555" s="8" t="str">
        <f>IF(Y555='Input - Bookings'!Q788,"OK","Check")</f>
        <v>Check</v>
      </c>
      <c r="AA555" s="140"/>
      <c r="AB555" s="71"/>
      <c r="AC555" s="71"/>
      <c r="AD555" s="100">
        <v>17556.914806078225</v>
      </c>
      <c r="AE555" s="100"/>
      <c r="AF555" s="8" t="str">
        <f t="array" ref="AF555">_xlfn.XLOOKUP($G555,'AP Plants'!D:D,'AP Plants'!B:B)</f>
        <v>Class 5 NOT BT</v>
      </c>
      <c r="AG555" s="102">
        <f>AD555*'Currency &amp; Conversion'!$L$6</f>
        <v>26145.757529211693</v>
      </c>
      <c r="AH555" s="102"/>
      <c r="AI555" s="44">
        <v>1.4999999999999999E-2</v>
      </c>
      <c r="AJ555" s="15">
        <f>_xlfn.XLOOKUP($AF555,Warranty!B:B,Warranty!E:E)</f>
        <v>5.0000000000000001E-3</v>
      </c>
      <c r="AK555" s="8">
        <f>IF($I555="AUD",VLOOKUP(RIGHT('Wk - Margins'!$G555,3),'AU Freight'!C:G,5,0),0)</f>
        <v>2130</v>
      </c>
      <c r="AL555" s="15">
        <f t="shared" si="165"/>
        <v>0</v>
      </c>
      <c r="AM555" s="61">
        <f t="shared" si="163"/>
        <v>28798.67267979592</v>
      </c>
      <c r="AN555" s="63">
        <f t="shared" si="166"/>
        <v>0.13089524089507665</v>
      </c>
      <c r="AQ555" s="147"/>
    </row>
    <row r="556" spans="1:43">
      <c r="A556" s="10" t="str">
        <f>'Input - Bookings'!A556</f>
        <v>10-30</v>
      </c>
      <c r="B556" s="11" t="str">
        <f>'Input - Bookings'!C556</f>
        <v>P</v>
      </c>
      <c r="C556" s="11" t="str">
        <f>'Input - Bookings'!H556</f>
        <v>AU</v>
      </c>
      <c r="D556" s="24" t="str">
        <f>'Input - Bookings'!E556</f>
        <v>065</v>
      </c>
      <c r="E556" s="24" t="str">
        <f>'Input - Bookings'!G556</f>
        <v>ADAPT-A-LIFT GROUP (WA)</v>
      </c>
      <c r="F556" s="24" t="str">
        <f>'Input - Bookings'!I556</f>
        <v>H69219</v>
      </c>
      <c r="G556" s="24" t="str">
        <f>'Input - Bookings'!L556</f>
        <v>D466</v>
      </c>
      <c r="H556" s="24" t="str">
        <f>'Input - Bookings'!M556</f>
        <v>H2.5XT</v>
      </c>
      <c r="I556" s="24" t="str">
        <f>'Input - Bookings'!B556</f>
        <v>AUD</v>
      </c>
      <c r="J556" s="13" t="str">
        <f>IF(I556="USD",INDEX('AP Plants'!A:A,MATCH(G556,'AP Plants'!D:D,0)),INDEX('Australia Plants'!A:A,MATCH(G556,'Australia Plants'!D:D,0)))</f>
        <v>SN</v>
      </c>
      <c r="K556" s="73">
        <v>1</v>
      </c>
      <c r="L556" s="97">
        <v>43070</v>
      </c>
      <c r="M556" s="97">
        <v>33136.019999999997</v>
      </c>
      <c r="N556" s="99">
        <v>0.13089524089507665</v>
      </c>
      <c r="O556" s="25">
        <f t="shared" si="169"/>
        <v>0.23064731831901564</v>
      </c>
      <c r="P556" s="14">
        <f>IFERROR(IF(OR(B556&amp;C556="PAU",B556&amp;C556="AIN"),VLOOKUP(B556&amp;C556&amp;G556,#REF!,8,0),VLOOKUP(B556&amp;G556,#REF!,8,0)),0)</f>
        <v>0</v>
      </c>
      <c r="Q556" s="15">
        <f t="shared" si="170"/>
        <v>0.13089524089507665</v>
      </c>
      <c r="R556" s="16" t="str">
        <f t="shared" si="171"/>
        <v>AOP</v>
      </c>
      <c r="S556" s="17">
        <f t="shared" si="167"/>
        <v>4337.3473202040777</v>
      </c>
      <c r="T556" s="18" t="e">
        <f t="shared" si="172"/>
        <v>#DIV/0!</v>
      </c>
      <c r="U556" s="23" t="e">
        <f t="shared" si="164"/>
        <v>#DIV/0!</v>
      </c>
      <c r="Y556" s="8" t="str">
        <f t="shared" si="173"/>
        <v>PAUH69219H2.5XT</v>
      </c>
      <c r="Z556" s="8" t="str">
        <f>IF(Y556='Input - Bookings'!Q789,"OK","Check")</f>
        <v>Check</v>
      </c>
      <c r="AA556" s="140"/>
      <c r="AB556" s="71"/>
      <c r="AC556" s="71"/>
      <c r="AD556" s="100">
        <v>17556.914806078225</v>
      </c>
      <c r="AE556" s="100"/>
      <c r="AF556" s="8" t="str">
        <f t="array" ref="AF556">_xlfn.XLOOKUP($G556,'AP Plants'!D:D,'AP Plants'!B:B)</f>
        <v>Class 5 NOT BT</v>
      </c>
      <c r="AG556" s="102">
        <f>AD556*'Currency &amp; Conversion'!$L$6</f>
        <v>26145.757529211693</v>
      </c>
      <c r="AH556" s="102"/>
      <c r="AI556" s="44">
        <v>1.4999999999999999E-2</v>
      </c>
      <c r="AJ556" s="15">
        <f>_xlfn.XLOOKUP($AF556,Warranty!B:B,Warranty!E:E)</f>
        <v>5.0000000000000001E-3</v>
      </c>
      <c r="AK556" s="8">
        <f>IF($I556="AUD",VLOOKUP(RIGHT('Wk - Margins'!$G556,3),'AU Freight'!C:G,5,0),0)</f>
        <v>2130</v>
      </c>
      <c r="AL556" s="15">
        <f t="shared" si="165"/>
        <v>0</v>
      </c>
      <c r="AM556" s="61">
        <f t="shared" si="163"/>
        <v>28798.67267979592</v>
      </c>
      <c r="AN556" s="63">
        <f t="shared" si="166"/>
        <v>0.13089524089507665</v>
      </c>
      <c r="AQ556" s="147"/>
    </row>
    <row r="557" spans="1:43">
      <c r="A557" s="10" t="str">
        <f>'Input - Bookings'!A557</f>
        <v>10-30</v>
      </c>
      <c r="B557" s="11" t="str">
        <f>'Input - Bookings'!C557</f>
        <v>P</v>
      </c>
      <c r="C557" s="11" t="str">
        <f>'Input - Bookings'!H557</f>
        <v>AU</v>
      </c>
      <c r="D557" s="24" t="str">
        <f>'Input - Bookings'!E557</f>
        <v>065</v>
      </c>
      <c r="E557" s="24" t="str">
        <f>'Input - Bookings'!G557</f>
        <v>ADAPT-A-LIFT GROUP (WA)</v>
      </c>
      <c r="F557" s="24" t="str">
        <f>'Input - Bookings'!I557</f>
        <v>H69220</v>
      </c>
      <c r="G557" s="24" t="str">
        <f>'Input - Bookings'!L557</f>
        <v>D466</v>
      </c>
      <c r="H557" s="24" t="str">
        <f>'Input - Bookings'!M557</f>
        <v>H2.5XT</v>
      </c>
      <c r="I557" s="24" t="str">
        <f>'Input - Bookings'!B557</f>
        <v>AUD</v>
      </c>
      <c r="J557" s="13" t="str">
        <f>IF(I557="USD",INDEX('AP Plants'!A:A,MATCH(G557,'AP Plants'!D:D,0)),INDEX('Australia Plants'!A:A,MATCH(G557,'Australia Plants'!D:D,0)))</f>
        <v>SN</v>
      </c>
      <c r="K557" s="73">
        <v>1</v>
      </c>
      <c r="L557" s="97">
        <v>43070</v>
      </c>
      <c r="M557" s="97">
        <v>33136.019999999997</v>
      </c>
      <c r="N557" s="99">
        <v>0.13089524089507665</v>
      </c>
      <c r="O557" s="25">
        <f t="shared" si="169"/>
        <v>0.23064731831901564</v>
      </c>
      <c r="P557" s="14">
        <f>IFERROR(IF(OR(B557&amp;C557="PAU",B557&amp;C557="AIN"),VLOOKUP(B557&amp;C557&amp;G557,#REF!,8,0),VLOOKUP(B557&amp;G557,#REF!,8,0)),0)</f>
        <v>0</v>
      </c>
      <c r="Q557" s="15">
        <f t="shared" si="170"/>
        <v>0.13089524089507665</v>
      </c>
      <c r="R557" s="16" t="str">
        <f t="shared" si="171"/>
        <v>AOP</v>
      </c>
      <c r="S557" s="17">
        <f t="shared" si="167"/>
        <v>4337.3473202040777</v>
      </c>
      <c r="T557" s="18" t="e">
        <f t="shared" si="172"/>
        <v>#DIV/0!</v>
      </c>
      <c r="U557" s="23" t="e">
        <f t="shared" si="164"/>
        <v>#DIV/0!</v>
      </c>
      <c r="Y557" s="8" t="str">
        <f t="shared" si="173"/>
        <v>PAUH69220H2.5XT</v>
      </c>
      <c r="Z557" s="8" t="str">
        <f>IF(Y557='Input - Bookings'!Q790,"OK","Check")</f>
        <v>Check</v>
      </c>
      <c r="AA557" s="140"/>
      <c r="AB557" s="71"/>
      <c r="AC557" s="71"/>
      <c r="AD557" s="100">
        <v>17556.914806078225</v>
      </c>
      <c r="AE557" s="100"/>
      <c r="AF557" s="8" t="str">
        <f t="array" ref="AF557">_xlfn.XLOOKUP($G557,'AP Plants'!D:D,'AP Plants'!B:B)</f>
        <v>Class 5 NOT BT</v>
      </c>
      <c r="AG557" s="102">
        <f>AD557*'Currency &amp; Conversion'!$L$6</f>
        <v>26145.757529211693</v>
      </c>
      <c r="AH557" s="102"/>
      <c r="AI557" s="44">
        <v>1.4999999999999999E-2</v>
      </c>
      <c r="AJ557" s="15">
        <f>_xlfn.XLOOKUP($AF557,Warranty!B:B,Warranty!E:E)</f>
        <v>5.0000000000000001E-3</v>
      </c>
      <c r="AK557" s="8">
        <f>IF($I557="AUD",VLOOKUP(RIGHT('Wk - Margins'!$G557,3),'AU Freight'!C:G,5,0),0)</f>
        <v>2130</v>
      </c>
      <c r="AL557" s="15">
        <f t="shared" si="165"/>
        <v>0</v>
      </c>
      <c r="AM557" s="61">
        <f t="shared" si="163"/>
        <v>28798.67267979592</v>
      </c>
      <c r="AN557" s="63">
        <f t="shared" si="166"/>
        <v>0.13089524089507665</v>
      </c>
      <c r="AQ557" s="147"/>
    </row>
    <row r="558" spans="1:43">
      <c r="A558" s="10" t="str">
        <f>'Input - Bookings'!A558</f>
        <v>10-30</v>
      </c>
      <c r="B558" s="11" t="str">
        <f>'Input - Bookings'!C558</f>
        <v>P</v>
      </c>
      <c r="C558" s="11" t="str">
        <f>'Input - Bookings'!H558</f>
        <v>AU</v>
      </c>
      <c r="D558" s="24" t="str">
        <f>'Input - Bookings'!E558</f>
        <v>065</v>
      </c>
      <c r="E558" s="24" t="str">
        <f>'Input - Bookings'!G558</f>
        <v>ADAPT-A-LIFT GROUP (WA)</v>
      </c>
      <c r="F558" s="24" t="str">
        <f>'Input - Bookings'!I558</f>
        <v>H69221</v>
      </c>
      <c r="G558" s="24" t="str">
        <f>'Input - Bookings'!L558</f>
        <v>D466</v>
      </c>
      <c r="H558" s="24" t="str">
        <f>'Input - Bookings'!M558</f>
        <v>H2.5XT</v>
      </c>
      <c r="I558" s="24" t="str">
        <f>'Input - Bookings'!B558</f>
        <v>AUD</v>
      </c>
      <c r="J558" s="13" t="str">
        <f>IF(I558="USD",INDEX('AP Plants'!A:A,MATCH(G558,'AP Plants'!D:D,0)),INDEX('Australia Plants'!A:A,MATCH(G558,'Australia Plants'!D:D,0)))</f>
        <v>SN</v>
      </c>
      <c r="K558" s="73">
        <v>1</v>
      </c>
      <c r="L558" s="97">
        <v>43070</v>
      </c>
      <c r="M558" s="97">
        <v>33136.019999999997</v>
      </c>
      <c r="N558" s="99">
        <v>0.13089524089507665</v>
      </c>
      <c r="O558" s="25">
        <f t="shared" si="169"/>
        <v>0.23064731831901564</v>
      </c>
      <c r="P558" s="14">
        <f>IFERROR(IF(OR(B558&amp;C558="PAU",B558&amp;C558="AIN"),VLOOKUP(B558&amp;C558&amp;G558,#REF!,8,0),VLOOKUP(B558&amp;G558,#REF!,8,0)),0)</f>
        <v>0</v>
      </c>
      <c r="Q558" s="15">
        <f t="shared" si="170"/>
        <v>0.13089524089507665</v>
      </c>
      <c r="R558" s="16" t="str">
        <f t="shared" si="171"/>
        <v>AOP</v>
      </c>
      <c r="S558" s="17">
        <f t="shared" si="167"/>
        <v>4337.3473202040777</v>
      </c>
      <c r="T558" s="18" t="e">
        <f t="shared" si="172"/>
        <v>#DIV/0!</v>
      </c>
      <c r="U558" s="23" t="e">
        <f t="shared" si="164"/>
        <v>#DIV/0!</v>
      </c>
      <c r="Y558" s="8" t="str">
        <f t="shared" si="173"/>
        <v>PAUH69221H2.5XT</v>
      </c>
      <c r="Z558" s="8" t="str">
        <f>IF(Y558='Input - Bookings'!Q791,"OK","Check")</f>
        <v>Check</v>
      </c>
      <c r="AA558" s="140"/>
      <c r="AB558" s="71"/>
      <c r="AC558" s="71"/>
      <c r="AD558" s="100">
        <v>17556.914806078225</v>
      </c>
      <c r="AE558" s="100"/>
      <c r="AF558" s="8" t="str">
        <f t="array" ref="AF558">_xlfn.XLOOKUP($G558,'AP Plants'!D:D,'AP Plants'!B:B)</f>
        <v>Class 5 NOT BT</v>
      </c>
      <c r="AG558" s="102">
        <f>AD558*'Currency &amp; Conversion'!$L$6</f>
        <v>26145.757529211693</v>
      </c>
      <c r="AH558" s="102"/>
      <c r="AI558" s="44">
        <v>1.4999999999999999E-2</v>
      </c>
      <c r="AJ558" s="15">
        <f>_xlfn.XLOOKUP($AF558,Warranty!B:B,Warranty!E:E)</f>
        <v>5.0000000000000001E-3</v>
      </c>
      <c r="AK558" s="8">
        <f>IF($I558="AUD",VLOOKUP(RIGHT('Wk - Margins'!$G558,3),'AU Freight'!C:G,5,0),0)</f>
        <v>2130</v>
      </c>
      <c r="AL558" s="15">
        <f t="shared" si="165"/>
        <v>0</v>
      </c>
      <c r="AM558" s="61">
        <f t="shared" si="163"/>
        <v>28798.67267979592</v>
      </c>
      <c r="AN558" s="63">
        <f t="shared" si="166"/>
        <v>0.13089524089507665</v>
      </c>
      <c r="AQ558" s="147"/>
    </row>
    <row r="559" spans="1:43">
      <c r="A559" s="10" t="str">
        <f>'Input - Bookings'!A559</f>
        <v>10-30</v>
      </c>
      <c r="B559" s="11" t="str">
        <f>'Input - Bookings'!C559</f>
        <v>P</v>
      </c>
      <c r="C559" s="11" t="str">
        <f>'Input - Bookings'!H559</f>
        <v>AU</v>
      </c>
      <c r="D559" s="24" t="str">
        <f>'Input - Bookings'!E559</f>
        <v>065</v>
      </c>
      <c r="E559" s="24" t="str">
        <f>'Input - Bookings'!G559</f>
        <v>ADAPT-A-LIFT GROUP (WA)</v>
      </c>
      <c r="F559" s="24" t="str">
        <f>'Input - Bookings'!I559</f>
        <v>H69222</v>
      </c>
      <c r="G559" s="24" t="str">
        <f>'Input - Bookings'!L559</f>
        <v>D466</v>
      </c>
      <c r="H559" s="24" t="str">
        <f>'Input - Bookings'!M559</f>
        <v>H2.5XT</v>
      </c>
      <c r="I559" s="24" t="str">
        <f>'Input - Bookings'!B559</f>
        <v>AUD</v>
      </c>
      <c r="J559" s="13" t="str">
        <f>IF(I559="USD",INDEX('AP Plants'!A:A,MATCH(G559,'AP Plants'!D:D,0)),INDEX('Australia Plants'!A:A,MATCH(G559,'Australia Plants'!D:D,0)))</f>
        <v>SN</v>
      </c>
      <c r="K559" s="73">
        <v>1</v>
      </c>
      <c r="L559" s="97">
        <v>43070</v>
      </c>
      <c r="M559" s="97">
        <v>33136.019999999997</v>
      </c>
      <c r="N559" s="99">
        <v>0.13089524089507665</v>
      </c>
      <c r="O559" s="25">
        <f t="shared" si="169"/>
        <v>0.23064731831901564</v>
      </c>
      <c r="P559" s="14">
        <f>IFERROR(IF(OR(B559&amp;C559="PAU",B559&amp;C559="AIN"),VLOOKUP(B559&amp;C559&amp;G559,#REF!,8,0),VLOOKUP(B559&amp;G559,#REF!,8,0)),0)</f>
        <v>0</v>
      </c>
      <c r="Q559" s="15">
        <f t="shared" si="170"/>
        <v>0.13089524089507665</v>
      </c>
      <c r="R559" s="16" t="str">
        <f t="shared" si="171"/>
        <v>AOP</v>
      </c>
      <c r="S559" s="17">
        <f t="shared" si="167"/>
        <v>4337.3473202040777</v>
      </c>
      <c r="T559" s="18" t="e">
        <f t="shared" si="172"/>
        <v>#DIV/0!</v>
      </c>
      <c r="U559" s="23" t="e">
        <f t="shared" si="164"/>
        <v>#DIV/0!</v>
      </c>
      <c r="Y559" s="8" t="str">
        <f t="shared" si="173"/>
        <v>PAUH69222H2.5XT</v>
      </c>
      <c r="Z559" s="8" t="str">
        <f>IF(Y559='Input - Bookings'!Q792,"OK","Check")</f>
        <v>Check</v>
      </c>
      <c r="AA559" s="118"/>
      <c r="AB559" s="71"/>
      <c r="AC559" s="71"/>
      <c r="AD559" s="100">
        <v>17556.914806078225</v>
      </c>
      <c r="AE559" s="98"/>
      <c r="AF559" s="8" t="str">
        <f t="array" ref="AF559">_xlfn.XLOOKUP($G559,'AP Plants'!D:D,'AP Plants'!B:B)</f>
        <v>Class 5 NOT BT</v>
      </c>
      <c r="AG559" s="102">
        <f>AD559*'Currency &amp; Conversion'!$L$6</f>
        <v>26145.757529211693</v>
      </c>
      <c r="AH559" s="102"/>
      <c r="AI559" s="44">
        <v>1.4999999999999999E-2</v>
      </c>
      <c r="AJ559" s="15">
        <f>_xlfn.XLOOKUP($AF559,Warranty!B:B,Warranty!E:E)</f>
        <v>5.0000000000000001E-3</v>
      </c>
      <c r="AK559" s="8">
        <f>IF($I559="AUD",VLOOKUP(RIGHT('Wk - Margins'!$G559,3),'AU Freight'!C:G,5,0),0)</f>
        <v>2130</v>
      </c>
      <c r="AL559" s="15">
        <f t="shared" si="165"/>
        <v>0</v>
      </c>
      <c r="AM559" s="61">
        <f t="shared" si="163"/>
        <v>28798.67267979592</v>
      </c>
      <c r="AN559" s="63">
        <f t="shared" si="166"/>
        <v>0.13089524089507665</v>
      </c>
      <c r="AQ559" s="147"/>
    </row>
    <row r="560" spans="1:43">
      <c r="A560" s="10" t="str">
        <f>'Input - Bookings'!A560</f>
        <v>10-30</v>
      </c>
      <c r="B560" s="11" t="str">
        <f>'Input - Bookings'!C560</f>
        <v>P</v>
      </c>
      <c r="C560" s="11" t="str">
        <f>'Input - Bookings'!H560</f>
        <v>AU</v>
      </c>
      <c r="D560" s="24" t="str">
        <f>'Input - Bookings'!E560</f>
        <v>065</v>
      </c>
      <c r="E560" s="24" t="str">
        <f>'Input - Bookings'!G560</f>
        <v>ADAPT-A-LIFT GROUP (WA)</v>
      </c>
      <c r="F560" s="24" t="str">
        <f>'Input - Bookings'!I560</f>
        <v>H69223</v>
      </c>
      <c r="G560" s="24" t="str">
        <f>'Input - Bookings'!L560</f>
        <v>D466</v>
      </c>
      <c r="H560" s="24" t="str">
        <f>'Input - Bookings'!M560</f>
        <v>H2.5XT</v>
      </c>
      <c r="I560" s="24" t="str">
        <f>'Input - Bookings'!B560</f>
        <v>AUD</v>
      </c>
      <c r="J560" s="13" t="str">
        <f>IF(I560="USD",INDEX('AP Plants'!A:A,MATCH(G560,'AP Plants'!D:D,0)),INDEX('Australia Plants'!A:A,MATCH(G560,'Australia Plants'!D:D,0)))</f>
        <v>SN</v>
      </c>
      <c r="K560" s="73">
        <v>1</v>
      </c>
      <c r="L560" s="97">
        <v>43070</v>
      </c>
      <c r="M560" s="97">
        <v>33136.019999999997</v>
      </c>
      <c r="N560" s="99">
        <v>0.13089524089507665</v>
      </c>
      <c r="O560" s="25">
        <f t="shared" si="169"/>
        <v>0.23064731831901564</v>
      </c>
      <c r="P560" s="14">
        <f>IFERROR(IF(OR(B560&amp;C560="PAU",B560&amp;C560="AIN"),VLOOKUP(B560&amp;C560&amp;G560,#REF!,8,0),VLOOKUP(B560&amp;G560,#REF!,8,0)),0)</f>
        <v>0</v>
      </c>
      <c r="Q560" s="15">
        <f t="shared" si="170"/>
        <v>0.13089524089507665</v>
      </c>
      <c r="R560" s="16" t="str">
        <f t="shared" si="171"/>
        <v>AOP</v>
      </c>
      <c r="S560" s="17">
        <f t="shared" si="167"/>
        <v>4337.3473202040777</v>
      </c>
      <c r="T560" s="18" t="e">
        <f t="shared" si="172"/>
        <v>#DIV/0!</v>
      </c>
      <c r="U560" s="23" t="e">
        <f t="shared" si="164"/>
        <v>#DIV/0!</v>
      </c>
      <c r="Y560" s="8" t="str">
        <f t="shared" si="173"/>
        <v>PAUH69223H2.5XT</v>
      </c>
      <c r="Z560" s="8" t="str">
        <f>IF(Y560='Input - Bookings'!Q793,"OK","Check")</f>
        <v>Check</v>
      </c>
      <c r="AA560" s="118"/>
      <c r="AB560" s="71"/>
      <c r="AC560" s="71"/>
      <c r="AD560" s="100">
        <v>17556.914806078225</v>
      </c>
      <c r="AE560" s="98"/>
      <c r="AF560" s="8" t="str">
        <f t="array" ref="AF560">_xlfn.XLOOKUP($G560,'AP Plants'!D:D,'AP Plants'!B:B)</f>
        <v>Class 5 NOT BT</v>
      </c>
      <c r="AG560" s="102">
        <f>AD560*'Currency &amp; Conversion'!$L$6</f>
        <v>26145.757529211693</v>
      </c>
      <c r="AH560" s="102"/>
      <c r="AI560" s="44">
        <v>1.4999999999999999E-2</v>
      </c>
      <c r="AJ560" s="15">
        <f>_xlfn.XLOOKUP($AF560,Warranty!B:B,Warranty!E:E)</f>
        <v>5.0000000000000001E-3</v>
      </c>
      <c r="AK560" s="8">
        <f>IF($I560="AUD",VLOOKUP(RIGHT('Wk - Margins'!$G560,3),'AU Freight'!C:G,5,0),0)</f>
        <v>2130</v>
      </c>
      <c r="AL560" s="15">
        <f t="shared" si="165"/>
        <v>0</v>
      </c>
      <c r="AM560" s="61">
        <f t="shared" si="163"/>
        <v>28798.67267979592</v>
      </c>
      <c r="AN560" s="63">
        <f t="shared" si="166"/>
        <v>0.13089524089507665</v>
      </c>
      <c r="AQ560" s="147"/>
    </row>
    <row r="561" spans="1:43">
      <c r="A561" s="10" t="str">
        <f>'Input - Bookings'!A561</f>
        <v>10-30</v>
      </c>
      <c r="B561" s="11" t="str">
        <f>'Input - Bookings'!C561</f>
        <v>P</v>
      </c>
      <c r="C561" s="11" t="str">
        <f>'Input - Bookings'!H561</f>
        <v>AU</v>
      </c>
      <c r="D561" s="24" t="str">
        <f>'Input - Bookings'!E561</f>
        <v>065</v>
      </c>
      <c r="E561" s="24" t="str">
        <f>'Input - Bookings'!G561</f>
        <v>ADAPT-A-LIFT GROUP (WA)</v>
      </c>
      <c r="F561" s="24" t="str">
        <f>'Input - Bookings'!I561</f>
        <v>H69224</v>
      </c>
      <c r="G561" s="24" t="str">
        <f>'Input - Bookings'!L561</f>
        <v>D466</v>
      </c>
      <c r="H561" s="24" t="str">
        <f>'Input - Bookings'!M561</f>
        <v>H2.5XT</v>
      </c>
      <c r="I561" s="24" t="str">
        <f>'Input - Bookings'!B561</f>
        <v>AUD</v>
      </c>
      <c r="J561" s="13" t="str">
        <f>IF(I561="USD",INDEX('AP Plants'!A:A,MATCH(G561,'AP Plants'!D:D,0)),INDEX('Australia Plants'!A:A,MATCH(G561,'Australia Plants'!D:D,0)))</f>
        <v>SN</v>
      </c>
      <c r="K561" s="73">
        <v>1</v>
      </c>
      <c r="L561" s="97">
        <v>43070</v>
      </c>
      <c r="M561" s="97">
        <v>33136.019999999997</v>
      </c>
      <c r="N561" s="99">
        <v>0.13089524089507665</v>
      </c>
      <c r="O561" s="25">
        <f t="shared" si="169"/>
        <v>0.23064731831901564</v>
      </c>
      <c r="P561" s="14">
        <f>IFERROR(IF(OR(B561&amp;C561="PAU",B561&amp;C561="AIN"),VLOOKUP(B561&amp;C561&amp;G561,#REF!,8,0),VLOOKUP(B561&amp;G561,#REF!,8,0)),0)</f>
        <v>0</v>
      </c>
      <c r="Q561" s="15">
        <f t="shared" si="170"/>
        <v>0.13089524089507665</v>
      </c>
      <c r="R561" s="16" t="str">
        <f t="shared" si="171"/>
        <v>AOP</v>
      </c>
      <c r="S561" s="17">
        <f t="shared" si="167"/>
        <v>4337.3473202040777</v>
      </c>
      <c r="T561" s="18" t="e">
        <f t="shared" si="172"/>
        <v>#DIV/0!</v>
      </c>
      <c r="U561" s="23" t="e">
        <f t="shared" si="164"/>
        <v>#DIV/0!</v>
      </c>
      <c r="Y561" s="8" t="str">
        <f t="shared" si="173"/>
        <v>PAUH69224H2.5XT</v>
      </c>
      <c r="Z561" s="8" t="str">
        <f>IF(Y561='Input - Bookings'!Q794,"OK","Check")</f>
        <v>Check</v>
      </c>
      <c r="AA561" s="118"/>
      <c r="AB561" s="71"/>
      <c r="AC561" s="71"/>
      <c r="AD561" s="100">
        <v>17556.914806078225</v>
      </c>
      <c r="AE561" s="98"/>
      <c r="AF561" s="8" t="str">
        <f t="array" ref="AF561">_xlfn.XLOOKUP($G561,'AP Plants'!D:D,'AP Plants'!B:B)</f>
        <v>Class 5 NOT BT</v>
      </c>
      <c r="AG561" s="102">
        <f>AD561*'Currency &amp; Conversion'!$L$6</f>
        <v>26145.757529211693</v>
      </c>
      <c r="AH561" s="102"/>
      <c r="AI561" s="44">
        <v>1.4999999999999999E-2</v>
      </c>
      <c r="AJ561" s="15">
        <f>_xlfn.XLOOKUP($AF561,Warranty!B:B,Warranty!E:E)</f>
        <v>5.0000000000000001E-3</v>
      </c>
      <c r="AK561" s="8">
        <f>IF($I561="AUD",VLOOKUP(RIGHT('Wk - Margins'!$G561,3),'AU Freight'!C:G,5,0),0)</f>
        <v>2130</v>
      </c>
      <c r="AL561" s="15">
        <f t="shared" si="165"/>
        <v>0</v>
      </c>
      <c r="AM561" s="61">
        <f t="shared" si="163"/>
        <v>28798.67267979592</v>
      </c>
      <c r="AN561" s="63">
        <f t="shared" si="166"/>
        <v>0.13089524089507665</v>
      </c>
      <c r="AQ561" s="147"/>
    </row>
    <row r="562" spans="1:43">
      <c r="A562" s="10" t="str">
        <f>'Input - Bookings'!A562</f>
        <v>10-30</v>
      </c>
      <c r="B562" s="11" t="str">
        <f>'Input - Bookings'!C562</f>
        <v>P</v>
      </c>
      <c r="C562" s="11" t="str">
        <f>'Input - Bookings'!H562</f>
        <v>AU</v>
      </c>
      <c r="D562" s="24" t="str">
        <f>'Input - Bookings'!E562</f>
        <v>065</v>
      </c>
      <c r="E562" s="24" t="str">
        <f>'Input - Bookings'!G562</f>
        <v>ADAPT-A-LIFT GROUP (WA)</v>
      </c>
      <c r="F562" s="24" t="str">
        <f>'Input - Bookings'!I562</f>
        <v>H69225</v>
      </c>
      <c r="G562" s="24" t="str">
        <f>'Input - Bookings'!L562</f>
        <v>D466</v>
      </c>
      <c r="H562" s="24" t="str">
        <f>'Input - Bookings'!M562</f>
        <v>H2.5XT</v>
      </c>
      <c r="I562" s="24" t="str">
        <f>'Input - Bookings'!B562</f>
        <v>AUD</v>
      </c>
      <c r="J562" s="13" t="str">
        <f>IF(I562="USD",INDEX('AP Plants'!A:A,MATCH(G562,'AP Plants'!D:D,0)),INDEX('Australia Plants'!A:A,MATCH(G562,'Australia Plants'!D:D,0)))</f>
        <v>SN</v>
      </c>
      <c r="K562" s="73">
        <v>1</v>
      </c>
      <c r="L562" s="97">
        <v>43070</v>
      </c>
      <c r="M562" s="97">
        <v>33136.019999999997</v>
      </c>
      <c r="N562" s="99">
        <v>0.13089524089507665</v>
      </c>
      <c r="O562" s="25">
        <f t="shared" si="169"/>
        <v>0.23064731831901564</v>
      </c>
      <c r="P562" s="14">
        <f>IFERROR(IF(OR(B562&amp;C562="PAU",B562&amp;C562="AIN"),VLOOKUP(B562&amp;C562&amp;G562,#REF!,8,0),VLOOKUP(B562&amp;G562,#REF!,8,0)),0)</f>
        <v>0</v>
      </c>
      <c r="Q562" s="15">
        <f t="shared" si="170"/>
        <v>0.13089524089507665</v>
      </c>
      <c r="R562" s="16" t="str">
        <f t="shared" si="171"/>
        <v>AOP</v>
      </c>
      <c r="S562" s="17">
        <f t="shared" si="167"/>
        <v>4337.3473202040777</v>
      </c>
      <c r="T562" s="18" t="e">
        <f t="shared" si="172"/>
        <v>#DIV/0!</v>
      </c>
      <c r="U562" s="23" t="e">
        <f t="shared" si="164"/>
        <v>#DIV/0!</v>
      </c>
      <c r="Y562" s="8" t="str">
        <f t="shared" si="173"/>
        <v>PAUH69225H2.5XT</v>
      </c>
      <c r="Z562" s="8" t="str">
        <f>IF(Y562='Input - Bookings'!Q795,"OK","Check")</f>
        <v>Check</v>
      </c>
      <c r="AA562" s="118"/>
      <c r="AB562" s="71"/>
      <c r="AC562" s="71"/>
      <c r="AD562" s="100">
        <v>17556.914806078225</v>
      </c>
      <c r="AE562" s="98"/>
      <c r="AF562" s="8" t="str">
        <f t="array" ref="AF562">_xlfn.XLOOKUP($G562,'AP Plants'!D:D,'AP Plants'!B:B)</f>
        <v>Class 5 NOT BT</v>
      </c>
      <c r="AG562" s="102">
        <f>AD562*'Currency &amp; Conversion'!$L$6</f>
        <v>26145.757529211693</v>
      </c>
      <c r="AH562" s="102"/>
      <c r="AI562" s="44">
        <v>1.4999999999999999E-2</v>
      </c>
      <c r="AJ562" s="15">
        <f>_xlfn.XLOOKUP($AF562,Warranty!B:B,Warranty!E:E)</f>
        <v>5.0000000000000001E-3</v>
      </c>
      <c r="AK562" s="8">
        <f>IF($I562="AUD",VLOOKUP(RIGHT('Wk - Margins'!$G562,3),'AU Freight'!C:G,5,0),0)</f>
        <v>2130</v>
      </c>
      <c r="AL562" s="15">
        <f t="shared" si="165"/>
        <v>0</v>
      </c>
      <c r="AM562" s="61">
        <f t="shared" si="163"/>
        <v>28798.67267979592</v>
      </c>
      <c r="AN562" s="63">
        <f t="shared" si="166"/>
        <v>0.13089524089507665</v>
      </c>
      <c r="AQ562" s="147"/>
    </row>
    <row r="563" spans="1:43">
      <c r="A563" s="10" t="str">
        <f>'Input - Bookings'!A563</f>
        <v>10-30</v>
      </c>
      <c r="B563" s="11" t="str">
        <f>'Input - Bookings'!C563</f>
        <v>P</v>
      </c>
      <c r="C563" s="11" t="str">
        <f>'Input - Bookings'!H563</f>
        <v>AU</v>
      </c>
      <c r="D563" s="24" t="str">
        <f>'Input - Bookings'!E563</f>
        <v>065</v>
      </c>
      <c r="E563" s="24" t="str">
        <f>'Input - Bookings'!G563</f>
        <v>ADAPT-A-LIFT GROUP (WA)</v>
      </c>
      <c r="F563" s="24" t="str">
        <f>'Input - Bookings'!I563</f>
        <v>H69226</v>
      </c>
      <c r="G563" s="24" t="str">
        <f>'Input - Bookings'!L563</f>
        <v>D466</v>
      </c>
      <c r="H563" s="24" t="str">
        <f>'Input - Bookings'!M563</f>
        <v>H2.5XT</v>
      </c>
      <c r="I563" s="24" t="str">
        <f>'Input - Bookings'!B563</f>
        <v>AUD</v>
      </c>
      <c r="J563" s="13" t="str">
        <f>IF(I563="USD",INDEX('AP Plants'!A:A,MATCH(G563,'AP Plants'!D:D,0)),INDEX('Australia Plants'!A:A,MATCH(G563,'Australia Plants'!D:D,0)))</f>
        <v>SN</v>
      </c>
      <c r="K563" s="73">
        <v>1</v>
      </c>
      <c r="L563" s="97">
        <v>43070</v>
      </c>
      <c r="M563" s="97">
        <v>33136.019999999997</v>
      </c>
      <c r="N563" s="99">
        <v>0.13089524089507665</v>
      </c>
      <c r="O563" s="25">
        <f t="shared" si="169"/>
        <v>0.23064731831901564</v>
      </c>
      <c r="P563" s="14">
        <f>IFERROR(IF(OR(B563&amp;C563="PAU",B563&amp;C563="AIN"),VLOOKUP(B563&amp;C563&amp;G563,#REF!,8,0),VLOOKUP(B563&amp;G563,#REF!,8,0)),0)</f>
        <v>0</v>
      </c>
      <c r="Q563" s="15">
        <f t="shared" si="170"/>
        <v>0.13089524089507665</v>
      </c>
      <c r="R563" s="16" t="str">
        <f t="shared" si="171"/>
        <v>AOP</v>
      </c>
      <c r="S563" s="17">
        <f t="shared" si="167"/>
        <v>4337.3473202040777</v>
      </c>
      <c r="T563" s="18" t="e">
        <f t="shared" si="172"/>
        <v>#DIV/0!</v>
      </c>
      <c r="U563" s="23" t="e">
        <f t="shared" si="164"/>
        <v>#DIV/0!</v>
      </c>
      <c r="Y563" s="8" t="str">
        <f t="shared" si="173"/>
        <v>PAUH69226H2.5XT</v>
      </c>
      <c r="Z563" s="8" t="str">
        <f>IF(Y563='Input - Bookings'!Q796,"OK","Check")</f>
        <v>Check</v>
      </c>
      <c r="AA563" s="118"/>
      <c r="AB563" s="71"/>
      <c r="AC563" s="71"/>
      <c r="AD563" s="100">
        <v>17556.914806078225</v>
      </c>
      <c r="AE563" s="98"/>
      <c r="AF563" s="8" t="str">
        <f t="array" ref="AF563">_xlfn.XLOOKUP($G563,'AP Plants'!D:D,'AP Plants'!B:B)</f>
        <v>Class 5 NOT BT</v>
      </c>
      <c r="AG563" s="102">
        <f>AD563*'Currency &amp; Conversion'!$L$6</f>
        <v>26145.757529211693</v>
      </c>
      <c r="AH563" s="102"/>
      <c r="AI563" s="44">
        <v>1.4999999999999999E-2</v>
      </c>
      <c r="AJ563" s="15">
        <f>_xlfn.XLOOKUP($AF563,Warranty!B:B,Warranty!E:E)</f>
        <v>5.0000000000000001E-3</v>
      </c>
      <c r="AK563" s="8">
        <f>IF($I563="AUD",VLOOKUP(RIGHT('Wk - Margins'!$G563,3),'AU Freight'!C:G,5,0),0)</f>
        <v>2130</v>
      </c>
      <c r="AL563" s="15">
        <f t="shared" si="165"/>
        <v>0</v>
      </c>
      <c r="AM563" s="61">
        <f t="shared" ref="AM563:AM589" si="174">SUM(AG563:AH563)*(1+AI563+AJ563+AL563)+AK563</f>
        <v>28798.67267979592</v>
      </c>
      <c r="AN563" s="63">
        <f t="shared" si="166"/>
        <v>0.13089524089507665</v>
      </c>
      <c r="AQ563" s="147"/>
    </row>
    <row r="564" spans="1:43">
      <c r="A564" s="10" t="str">
        <f>'Input - Bookings'!A564</f>
        <v>10-30</v>
      </c>
      <c r="B564" s="11" t="str">
        <f>'Input - Bookings'!C564</f>
        <v>P</v>
      </c>
      <c r="C564" s="11" t="str">
        <f>'Input - Bookings'!H564</f>
        <v>AU</v>
      </c>
      <c r="D564" s="24" t="str">
        <f>'Input - Bookings'!E564</f>
        <v>065</v>
      </c>
      <c r="E564" s="24" t="str">
        <f>'Input - Bookings'!G564</f>
        <v>ADAPT-A-LIFT GROUP (WA)</v>
      </c>
      <c r="F564" s="24" t="str">
        <f>'Input - Bookings'!I564</f>
        <v>H69227</v>
      </c>
      <c r="G564" s="24" t="str">
        <f>'Input - Bookings'!L564</f>
        <v>D466</v>
      </c>
      <c r="H564" s="24" t="str">
        <f>'Input - Bookings'!M564</f>
        <v>H2.5XT</v>
      </c>
      <c r="I564" s="24" t="str">
        <f>'Input - Bookings'!B564</f>
        <v>AUD</v>
      </c>
      <c r="J564" s="13" t="str">
        <f>IF(I564="USD",INDEX('AP Plants'!A:A,MATCH(G564,'AP Plants'!D:D,0)),INDEX('Australia Plants'!A:A,MATCH(G564,'Australia Plants'!D:D,0)))</f>
        <v>SN</v>
      </c>
      <c r="K564" s="73">
        <v>1</v>
      </c>
      <c r="L564" s="97">
        <v>43070</v>
      </c>
      <c r="M564" s="97">
        <v>33136.019999999997</v>
      </c>
      <c r="N564" s="99">
        <v>0.13089524089507665</v>
      </c>
      <c r="O564" s="25">
        <f t="shared" si="169"/>
        <v>0.23064731831901564</v>
      </c>
      <c r="P564" s="14">
        <f>IFERROR(IF(OR(B564&amp;C564="PAU",B564&amp;C564="AIN"),VLOOKUP(B564&amp;C564&amp;G564,#REF!,8,0),VLOOKUP(B564&amp;G564,#REF!,8,0)),0)</f>
        <v>0</v>
      </c>
      <c r="Q564" s="15">
        <f t="shared" si="170"/>
        <v>0.13089524089507665</v>
      </c>
      <c r="R564" s="16" t="str">
        <f t="shared" si="171"/>
        <v>AOP</v>
      </c>
      <c r="S564" s="17">
        <f t="shared" si="167"/>
        <v>4337.3473202040777</v>
      </c>
      <c r="T564" s="18" t="e">
        <f t="shared" si="172"/>
        <v>#DIV/0!</v>
      </c>
      <c r="U564" s="23" t="e">
        <f t="shared" si="164"/>
        <v>#DIV/0!</v>
      </c>
      <c r="Y564" s="8" t="str">
        <f t="shared" si="173"/>
        <v>PAUH69227H2.5XT</v>
      </c>
      <c r="Z564" s="8" t="str">
        <f>IF(Y564='Input - Bookings'!Q797,"OK","Check")</f>
        <v>Check</v>
      </c>
      <c r="AA564" s="118"/>
      <c r="AB564" s="71"/>
      <c r="AC564" s="71"/>
      <c r="AD564" s="100">
        <v>17556.914806078225</v>
      </c>
      <c r="AE564" s="98"/>
      <c r="AF564" s="8" t="str">
        <f t="array" ref="AF564">_xlfn.XLOOKUP($G564,'AP Plants'!D:D,'AP Plants'!B:B)</f>
        <v>Class 5 NOT BT</v>
      </c>
      <c r="AG564" s="102">
        <f>AD564*'Currency &amp; Conversion'!$L$6</f>
        <v>26145.757529211693</v>
      </c>
      <c r="AH564" s="102"/>
      <c r="AI564" s="44">
        <v>1.4999999999999999E-2</v>
      </c>
      <c r="AJ564" s="15">
        <f>_xlfn.XLOOKUP($AF564,Warranty!B:B,Warranty!E:E)</f>
        <v>5.0000000000000001E-3</v>
      </c>
      <c r="AK564" s="8">
        <f>IF($I564="AUD",VLOOKUP(RIGHT('Wk - Margins'!$G564,3),'AU Freight'!C:G,5,0),0)</f>
        <v>2130</v>
      </c>
      <c r="AL564" s="15">
        <f t="shared" si="165"/>
        <v>0</v>
      </c>
      <c r="AM564" s="61">
        <f t="shared" si="174"/>
        <v>28798.67267979592</v>
      </c>
      <c r="AN564" s="63">
        <f t="shared" si="166"/>
        <v>0.13089524089507665</v>
      </c>
      <c r="AQ564" s="147"/>
    </row>
    <row r="565" spans="1:43">
      <c r="A565" s="10" t="str">
        <f>'Input - Bookings'!A565</f>
        <v>10-30</v>
      </c>
      <c r="B565" s="11" t="str">
        <f>'Input - Bookings'!C565</f>
        <v>P</v>
      </c>
      <c r="C565" s="11" t="str">
        <f>'Input - Bookings'!H565</f>
        <v>AU</v>
      </c>
      <c r="D565" s="24" t="str">
        <f>'Input - Bookings'!E565</f>
        <v>065</v>
      </c>
      <c r="E565" s="24" t="str">
        <f>'Input - Bookings'!G565</f>
        <v>ADAPT-A-LIFT GROUP (WA)</v>
      </c>
      <c r="F565" s="24" t="str">
        <f>'Input - Bookings'!I565</f>
        <v>H69228</v>
      </c>
      <c r="G565" s="24" t="str">
        <f>'Input - Bookings'!L565</f>
        <v>D466</v>
      </c>
      <c r="H565" s="24" t="str">
        <f>'Input - Bookings'!M565</f>
        <v>H2.5XT</v>
      </c>
      <c r="I565" s="24" t="str">
        <f>'Input - Bookings'!B565</f>
        <v>AUD</v>
      </c>
      <c r="J565" s="13" t="str">
        <f>IF(I565="USD",INDEX('AP Plants'!A:A,MATCH(G565,'AP Plants'!D:D,0)),INDEX('Australia Plants'!A:A,MATCH(G565,'Australia Plants'!D:D,0)))</f>
        <v>SN</v>
      </c>
      <c r="K565" s="73">
        <v>1</v>
      </c>
      <c r="L565" s="97">
        <v>43070</v>
      </c>
      <c r="M565" s="97">
        <v>33136.019999999997</v>
      </c>
      <c r="N565" s="99">
        <v>0.13089524089507665</v>
      </c>
      <c r="O565" s="25">
        <f t="shared" si="169"/>
        <v>0.23064731831901564</v>
      </c>
      <c r="P565" s="14">
        <f>IFERROR(IF(OR(B565&amp;C565="PAU",B565&amp;C565="AIN"),VLOOKUP(B565&amp;C565&amp;G565,#REF!,8,0),VLOOKUP(B565&amp;G565,#REF!,8,0)),0)</f>
        <v>0</v>
      </c>
      <c r="Q565" s="15">
        <f t="shared" si="170"/>
        <v>0.13089524089507665</v>
      </c>
      <c r="R565" s="16" t="str">
        <f t="shared" si="171"/>
        <v>AOP</v>
      </c>
      <c r="S565" s="17">
        <f t="shared" si="167"/>
        <v>4337.3473202040777</v>
      </c>
      <c r="T565" s="18" t="e">
        <f t="shared" si="172"/>
        <v>#DIV/0!</v>
      </c>
      <c r="U565" s="23" t="e">
        <f t="shared" si="164"/>
        <v>#DIV/0!</v>
      </c>
      <c r="Y565" s="8" t="str">
        <f t="shared" si="173"/>
        <v>PAUH69228H2.5XT</v>
      </c>
      <c r="Z565" s="8" t="str">
        <f>IF(Y565='Input - Bookings'!Q798,"OK","Check")</f>
        <v>Check</v>
      </c>
      <c r="AA565" s="118"/>
      <c r="AB565" s="71"/>
      <c r="AC565" s="71"/>
      <c r="AD565" s="100">
        <v>17556.914806078225</v>
      </c>
      <c r="AE565" s="98"/>
      <c r="AF565" s="8" t="str">
        <f t="array" ref="AF565">_xlfn.XLOOKUP($G565,'AP Plants'!D:D,'AP Plants'!B:B)</f>
        <v>Class 5 NOT BT</v>
      </c>
      <c r="AG565" s="102">
        <f>AD565*'Currency &amp; Conversion'!$L$6</f>
        <v>26145.757529211693</v>
      </c>
      <c r="AH565" s="102"/>
      <c r="AI565" s="44">
        <v>1.4999999999999999E-2</v>
      </c>
      <c r="AJ565" s="15">
        <f>_xlfn.XLOOKUP($AF565,Warranty!B:B,Warranty!E:E)</f>
        <v>5.0000000000000001E-3</v>
      </c>
      <c r="AK565" s="8">
        <f>IF($I565="AUD",VLOOKUP(RIGHT('Wk - Margins'!$G565,3),'AU Freight'!C:G,5,0),0)</f>
        <v>2130</v>
      </c>
      <c r="AL565" s="15">
        <f t="shared" si="165"/>
        <v>0</v>
      </c>
      <c r="AM565" s="61">
        <f t="shared" si="174"/>
        <v>28798.67267979592</v>
      </c>
      <c r="AN565" s="63">
        <f t="shared" si="166"/>
        <v>0.13089524089507665</v>
      </c>
      <c r="AQ565" s="147"/>
    </row>
    <row r="566" spans="1:43">
      <c r="A566" s="10" t="str">
        <f>'Input - Bookings'!A566</f>
        <v>10-30</v>
      </c>
      <c r="B566" s="11" t="str">
        <f>'Input - Bookings'!C566</f>
        <v>P</v>
      </c>
      <c r="C566" s="11" t="str">
        <f>'Input - Bookings'!H566</f>
        <v>AU</v>
      </c>
      <c r="D566" s="24" t="str">
        <f>'Input - Bookings'!E566</f>
        <v>065</v>
      </c>
      <c r="E566" s="24" t="str">
        <f>'Input - Bookings'!G566</f>
        <v>ADAPT-A-LIFT GROUP (WA)</v>
      </c>
      <c r="F566" s="24" t="str">
        <f>'Input - Bookings'!I566</f>
        <v>H69229</v>
      </c>
      <c r="G566" s="24" t="str">
        <f>'Input - Bookings'!L566</f>
        <v>D466</v>
      </c>
      <c r="H566" s="24" t="str">
        <f>'Input - Bookings'!M566</f>
        <v>H2.5XT</v>
      </c>
      <c r="I566" s="24" t="str">
        <f>'Input - Bookings'!B566</f>
        <v>AUD</v>
      </c>
      <c r="J566" s="13" t="str">
        <f>IF(I566="USD",INDEX('AP Plants'!A:A,MATCH(G566,'AP Plants'!D:D,0)),INDEX('Australia Plants'!A:A,MATCH(G566,'Australia Plants'!D:D,0)))</f>
        <v>SN</v>
      </c>
      <c r="K566" s="73">
        <v>1</v>
      </c>
      <c r="L566" s="97">
        <v>43070</v>
      </c>
      <c r="M566" s="97">
        <v>33136.019999999997</v>
      </c>
      <c r="N566" s="99">
        <v>0.13089524089507665</v>
      </c>
      <c r="O566" s="25">
        <f t="shared" si="169"/>
        <v>0.23064731831901564</v>
      </c>
      <c r="P566" s="14">
        <f>IFERROR(IF(OR(B566&amp;C566="PAU",B566&amp;C566="AIN"),VLOOKUP(B566&amp;C566&amp;G566,#REF!,8,0),VLOOKUP(B566&amp;G566,#REF!,8,0)),0)</f>
        <v>0</v>
      </c>
      <c r="Q566" s="15">
        <f t="shared" si="170"/>
        <v>0.13089524089507665</v>
      </c>
      <c r="R566" s="16" t="str">
        <f t="shared" si="171"/>
        <v>AOP</v>
      </c>
      <c r="S566" s="17">
        <f t="shared" si="167"/>
        <v>4337.3473202040777</v>
      </c>
      <c r="T566" s="18" t="e">
        <f t="shared" si="172"/>
        <v>#DIV/0!</v>
      </c>
      <c r="U566" s="23" t="e">
        <f t="shared" si="164"/>
        <v>#DIV/0!</v>
      </c>
      <c r="Y566" s="8" t="str">
        <f t="shared" si="173"/>
        <v>PAUH69229H2.5XT</v>
      </c>
      <c r="Z566" s="8" t="str">
        <f>IF(Y566='Input - Bookings'!Q799,"OK","Check")</f>
        <v>Check</v>
      </c>
      <c r="AA566" s="118"/>
      <c r="AB566" s="71"/>
      <c r="AC566" s="71"/>
      <c r="AD566" s="100">
        <v>17556.914806078225</v>
      </c>
      <c r="AE566" s="98"/>
      <c r="AF566" s="8" t="str">
        <f t="array" ref="AF566">_xlfn.XLOOKUP($G566,'AP Plants'!D:D,'AP Plants'!B:B)</f>
        <v>Class 5 NOT BT</v>
      </c>
      <c r="AG566" s="102">
        <f>AD566*'Currency &amp; Conversion'!$L$6</f>
        <v>26145.757529211693</v>
      </c>
      <c r="AH566" s="102"/>
      <c r="AI566" s="44">
        <v>1.4999999999999999E-2</v>
      </c>
      <c r="AJ566" s="15">
        <f>_xlfn.XLOOKUP($AF566,Warranty!B:B,Warranty!E:E)</f>
        <v>5.0000000000000001E-3</v>
      </c>
      <c r="AK566" s="8">
        <f>IF($I566="AUD",VLOOKUP(RIGHT('Wk - Margins'!$G566,3),'AU Freight'!C:G,5,0),0)</f>
        <v>2130</v>
      </c>
      <c r="AL566" s="15">
        <f t="shared" si="165"/>
        <v>0</v>
      </c>
      <c r="AM566" s="61">
        <f t="shared" si="174"/>
        <v>28798.67267979592</v>
      </c>
      <c r="AN566" s="63">
        <f t="shared" si="166"/>
        <v>0.13089524089507665</v>
      </c>
      <c r="AQ566" s="147"/>
    </row>
    <row r="567" spans="1:43">
      <c r="A567" s="10" t="str">
        <f>'Input - Bookings'!A567</f>
        <v>10-30</v>
      </c>
      <c r="B567" s="11" t="str">
        <f>'Input - Bookings'!C567</f>
        <v>P</v>
      </c>
      <c r="C567" s="11" t="str">
        <f>'Input - Bookings'!H567</f>
        <v>AU</v>
      </c>
      <c r="D567" s="24" t="str">
        <f>'Input - Bookings'!E567</f>
        <v>065</v>
      </c>
      <c r="E567" s="24" t="str">
        <f>'Input - Bookings'!G567</f>
        <v>ADAPT-A-LIFT GROUP (WA)</v>
      </c>
      <c r="F567" s="24" t="str">
        <f>'Input - Bookings'!I567</f>
        <v>H69230</v>
      </c>
      <c r="G567" s="24" t="str">
        <f>'Input - Bookings'!L567</f>
        <v>D466</v>
      </c>
      <c r="H567" s="24" t="str">
        <f>'Input - Bookings'!M567</f>
        <v>H2.5XT</v>
      </c>
      <c r="I567" s="24" t="str">
        <f>'Input - Bookings'!B567</f>
        <v>AUD</v>
      </c>
      <c r="J567" s="13" t="str">
        <f>IF(I567="USD",INDEX('AP Plants'!A:A,MATCH(G567,'AP Plants'!D:D,0)),INDEX('Australia Plants'!A:A,MATCH(G567,'Australia Plants'!D:D,0)))</f>
        <v>SN</v>
      </c>
      <c r="K567" s="73">
        <v>1</v>
      </c>
      <c r="L567" s="97">
        <v>43070</v>
      </c>
      <c r="M567" s="97">
        <v>33136.019999999997</v>
      </c>
      <c r="N567" s="99">
        <v>0.13089524089507665</v>
      </c>
      <c r="O567" s="25">
        <f t="shared" si="169"/>
        <v>0.23064731831901564</v>
      </c>
      <c r="P567" s="14">
        <f>IFERROR(IF(OR(B567&amp;C567="PAU",B567&amp;C567="AIN"),VLOOKUP(B567&amp;C567&amp;G567,#REF!,8,0),VLOOKUP(B567&amp;G567,#REF!,8,0)),0)</f>
        <v>0</v>
      </c>
      <c r="Q567" s="15">
        <f t="shared" si="170"/>
        <v>0.13089524089507665</v>
      </c>
      <c r="R567" s="16" t="str">
        <f t="shared" si="171"/>
        <v>AOP</v>
      </c>
      <c r="S567" s="17">
        <f t="shared" si="167"/>
        <v>4337.3473202040777</v>
      </c>
      <c r="T567" s="18" t="e">
        <f t="shared" si="172"/>
        <v>#DIV/0!</v>
      </c>
      <c r="U567" s="23" t="e">
        <f t="shared" si="164"/>
        <v>#DIV/0!</v>
      </c>
      <c r="Y567" s="8" t="str">
        <f t="shared" si="173"/>
        <v>PAUH69230H2.5XT</v>
      </c>
      <c r="Z567" s="8" t="str">
        <f>IF(Y567='Input - Bookings'!Q800,"OK","Check")</f>
        <v>Check</v>
      </c>
      <c r="AA567" s="118"/>
      <c r="AB567" s="71"/>
      <c r="AC567" s="71"/>
      <c r="AD567" s="100">
        <v>17556.914806078225</v>
      </c>
      <c r="AE567" s="98"/>
      <c r="AF567" s="8" t="str">
        <f t="array" ref="AF567">_xlfn.XLOOKUP($G567,'AP Plants'!D:D,'AP Plants'!B:B)</f>
        <v>Class 5 NOT BT</v>
      </c>
      <c r="AG567" s="102">
        <f>AD567*'Currency &amp; Conversion'!$L$6</f>
        <v>26145.757529211693</v>
      </c>
      <c r="AH567" s="102"/>
      <c r="AI567" s="44">
        <v>1.4999999999999999E-2</v>
      </c>
      <c r="AJ567" s="15">
        <f>_xlfn.XLOOKUP($AF567,Warranty!B:B,Warranty!E:E)</f>
        <v>5.0000000000000001E-3</v>
      </c>
      <c r="AK567" s="8">
        <f>IF($I567="AUD",VLOOKUP(RIGHT('Wk - Margins'!$G567,3),'AU Freight'!C:G,5,0),0)</f>
        <v>2130</v>
      </c>
      <c r="AL567" s="15">
        <f t="shared" si="165"/>
        <v>0</v>
      </c>
      <c r="AM567" s="61">
        <f t="shared" si="174"/>
        <v>28798.67267979592</v>
      </c>
      <c r="AN567" s="63">
        <f t="shared" si="166"/>
        <v>0.13089524089507665</v>
      </c>
      <c r="AQ567" s="147"/>
    </row>
    <row r="568" spans="1:43">
      <c r="A568" s="10" t="str">
        <f>'Input - Bookings'!A568</f>
        <v>10-30</v>
      </c>
      <c r="B568" s="11" t="str">
        <f>'Input - Bookings'!C568</f>
        <v>P</v>
      </c>
      <c r="C568" s="11" t="str">
        <f>'Input - Bookings'!H568</f>
        <v>AU</v>
      </c>
      <c r="D568" s="24" t="str">
        <f>'Input - Bookings'!E568</f>
        <v>065</v>
      </c>
      <c r="E568" s="24" t="str">
        <f>'Input - Bookings'!G568</f>
        <v>ADAPT-A-LIFT GROUP (WA)</v>
      </c>
      <c r="F568" s="24" t="str">
        <f>'Input - Bookings'!I568</f>
        <v>H69232</v>
      </c>
      <c r="G568" s="24" t="str">
        <f>'Input - Bookings'!L568</f>
        <v>D466</v>
      </c>
      <c r="H568" s="24" t="str">
        <f>'Input - Bookings'!M568</f>
        <v>H3.0XT</v>
      </c>
      <c r="I568" s="24" t="str">
        <f>'Input - Bookings'!B568</f>
        <v>AUD</v>
      </c>
      <c r="J568" s="13" t="str">
        <f>IF(I568="USD",INDEX('AP Plants'!A:A,MATCH(G568,'AP Plants'!D:D,0)),INDEX('Australia Plants'!A:A,MATCH(G568,'Australia Plants'!D:D,0)))</f>
        <v>SN</v>
      </c>
      <c r="K568" s="73">
        <v>1</v>
      </c>
      <c r="L568" s="97">
        <v>48170</v>
      </c>
      <c r="M568" s="97">
        <v>33486.6</v>
      </c>
      <c r="N568" s="99">
        <v>9.5066156971581384E-2</v>
      </c>
      <c r="O568" s="25">
        <f t="shared" si="169"/>
        <v>0.30482457961386755</v>
      </c>
      <c r="P568" s="14">
        <f>IFERROR(IF(OR(B568&amp;C568="PAU",B568&amp;C568="AIN"),VLOOKUP(B568&amp;C568&amp;G568,#REF!,8,0),VLOOKUP(B568&amp;G568,#REF!,8,0)),0)</f>
        <v>0</v>
      </c>
      <c r="Q568" s="15">
        <f t="shared" si="170"/>
        <v>9.5066156971581384E-2</v>
      </c>
      <c r="R568" s="16" t="str">
        <f t="shared" si="171"/>
        <v>AOP</v>
      </c>
      <c r="S568" s="17">
        <f t="shared" si="167"/>
        <v>3183.442372044557</v>
      </c>
      <c r="T568" s="18" t="e">
        <f t="shared" si="172"/>
        <v>#DIV/0!</v>
      </c>
      <c r="U568" s="23" t="e">
        <f t="shared" si="164"/>
        <v>#DIV/0!</v>
      </c>
      <c r="Y568" s="8" t="str">
        <f t="shared" si="173"/>
        <v>PAUH69232H3.0XT</v>
      </c>
      <c r="Z568" s="8" t="str">
        <f>IF(Y568='Input - Bookings'!Q801,"OK","Check")</f>
        <v>Check</v>
      </c>
      <c r="AA568" s="118"/>
      <c r="AB568" s="71"/>
      <c r="AC568" s="71"/>
      <c r="AD568" s="100">
        <v>18547.369575950404</v>
      </c>
      <c r="AE568" s="98"/>
      <c r="AF568" s="8" t="str">
        <f t="array" ref="AF568">_xlfn.XLOOKUP($G568,'AP Plants'!D:D,'AP Plants'!B:B)</f>
        <v>Class 5 NOT BT</v>
      </c>
      <c r="AG568" s="102">
        <f>AD568*'Currency &amp; Conversion'!$L$6</f>
        <v>27620.742772505342</v>
      </c>
      <c r="AH568" s="102"/>
      <c r="AI568" s="44">
        <v>1.4999999999999999E-2</v>
      </c>
      <c r="AJ568" s="15">
        <f>_xlfn.XLOOKUP($AF568,Warranty!B:B,Warranty!E:E)</f>
        <v>5.0000000000000001E-3</v>
      </c>
      <c r="AK568" s="8">
        <f>IF($I568="AUD",VLOOKUP(RIGHT('Wk - Margins'!$G568,3),'AU Freight'!C:G,5,0),0)</f>
        <v>2130</v>
      </c>
      <c r="AL568" s="15">
        <f t="shared" si="165"/>
        <v>0</v>
      </c>
      <c r="AM568" s="61">
        <f t="shared" si="174"/>
        <v>30303.157627955443</v>
      </c>
      <c r="AN568" s="63">
        <f t="shared" si="166"/>
        <v>9.5066156971581384E-2</v>
      </c>
      <c r="AQ568" s="147"/>
    </row>
    <row r="569" spans="1:43">
      <c r="A569" s="10" t="str">
        <f>'Input - Bookings'!A569</f>
        <v>10-30</v>
      </c>
      <c r="B569" s="11" t="str">
        <f>'Input - Bookings'!C569</f>
        <v>P</v>
      </c>
      <c r="C569" s="11" t="str">
        <f>'Input - Bookings'!H569</f>
        <v>AU</v>
      </c>
      <c r="D569" s="24" t="str">
        <f>'Input - Bookings'!E569</f>
        <v>065</v>
      </c>
      <c r="E569" s="24" t="str">
        <f>'Input - Bookings'!G569</f>
        <v>ADAPT-A-LIFT GROUP (WA)</v>
      </c>
      <c r="F569" s="24" t="str">
        <f>'Input - Bookings'!I569</f>
        <v>H69233</v>
      </c>
      <c r="G569" s="24" t="str">
        <f>'Input - Bookings'!L569</f>
        <v>D466</v>
      </c>
      <c r="H569" s="24" t="str">
        <f>'Input - Bookings'!M569</f>
        <v>H3.0XT</v>
      </c>
      <c r="I569" s="24" t="str">
        <f>'Input - Bookings'!B569</f>
        <v>AUD</v>
      </c>
      <c r="J569" s="13" t="str">
        <f>IF(I569="USD",INDEX('AP Plants'!A:A,MATCH(G569,'AP Plants'!D:D,0)),INDEX('Australia Plants'!A:A,MATCH(G569,'Australia Plants'!D:D,0)))</f>
        <v>SN</v>
      </c>
      <c r="K569" s="73">
        <v>1</v>
      </c>
      <c r="L569" s="97">
        <v>48170</v>
      </c>
      <c r="M569" s="97">
        <v>33486.6</v>
      </c>
      <c r="N569" s="99">
        <v>9.5066156971581384E-2</v>
      </c>
      <c r="O569" s="25">
        <f t="shared" si="169"/>
        <v>0.30482457961386755</v>
      </c>
      <c r="P569" s="14">
        <f>IFERROR(IF(OR(B569&amp;C569="PAU",B569&amp;C569="AIN"),VLOOKUP(B569&amp;C569&amp;G569,#REF!,8,0),VLOOKUP(B569&amp;G569,#REF!,8,0)),0)</f>
        <v>0</v>
      </c>
      <c r="Q569" s="15">
        <f t="shared" si="170"/>
        <v>9.5066156971581384E-2</v>
      </c>
      <c r="R569" s="16" t="str">
        <f t="shared" si="171"/>
        <v>AOP</v>
      </c>
      <c r="S569" s="17">
        <f t="shared" si="167"/>
        <v>3183.442372044557</v>
      </c>
      <c r="T569" s="18" t="e">
        <f t="shared" si="172"/>
        <v>#DIV/0!</v>
      </c>
      <c r="U569" s="23" t="e">
        <f t="shared" si="164"/>
        <v>#DIV/0!</v>
      </c>
      <c r="Y569" s="8" t="str">
        <f t="shared" si="173"/>
        <v>PAUH69233H3.0XT</v>
      </c>
      <c r="Z569" s="8" t="str">
        <f>IF(Y569='Input - Bookings'!Q802,"OK","Check")</f>
        <v>Check</v>
      </c>
      <c r="AA569" s="118"/>
      <c r="AB569" s="71"/>
      <c r="AC569" s="71"/>
      <c r="AD569" s="100">
        <v>18547.369575950404</v>
      </c>
      <c r="AE569" s="98"/>
      <c r="AF569" s="8" t="str">
        <f t="array" ref="AF569">_xlfn.XLOOKUP($G569,'AP Plants'!D:D,'AP Plants'!B:B)</f>
        <v>Class 5 NOT BT</v>
      </c>
      <c r="AG569" s="102">
        <f>AD569*'Currency &amp; Conversion'!$L$6</f>
        <v>27620.742772505342</v>
      </c>
      <c r="AH569" s="102"/>
      <c r="AI569" s="44">
        <v>1.4999999999999999E-2</v>
      </c>
      <c r="AJ569" s="15">
        <f>_xlfn.XLOOKUP($AF569,Warranty!B:B,Warranty!E:E)</f>
        <v>5.0000000000000001E-3</v>
      </c>
      <c r="AK569" s="8">
        <f>IF($I569="AUD",VLOOKUP(RIGHT('Wk - Margins'!$G569,3),'AU Freight'!C:G,5,0),0)</f>
        <v>2130</v>
      </c>
      <c r="AL569" s="15">
        <f t="shared" si="165"/>
        <v>0</v>
      </c>
      <c r="AM569" s="61">
        <f t="shared" si="174"/>
        <v>30303.157627955443</v>
      </c>
      <c r="AN569" s="63">
        <f t="shared" si="166"/>
        <v>9.5066156971581384E-2</v>
      </c>
      <c r="AQ569" s="147"/>
    </row>
    <row r="570" spans="1:43">
      <c r="A570" s="10" t="str">
        <f>'Input - Bookings'!A570</f>
        <v>10-30</v>
      </c>
      <c r="B570" s="11" t="str">
        <f>'Input - Bookings'!C570</f>
        <v>P</v>
      </c>
      <c r="C570" s="11" t="str">
        <f>'Input - Bookings'!H570</f>
        <v>AU</v>
      </c>
      <c r="D570" s="24" t="str">
        <f>'Input - Bookings'!E570</f>
        <v>065</v>
      </c>
      <c r="E570" s="24" t="str">
        <f>'Input - Bookings'!G570</f>
        <v>ADAPT-A-LIFT GROUP (WA)</v>
      </c>
      <c r="F570" s="24" t="str">
        <f>'Input - Bookings'!I570</f>
        <v>H69237</v>
      </c>
      <c r="G570" s="24" t="str">
        <f>'Input - Bookings'!L570</f>
        <v>D466</v>
      </c>
      <c r="H570" s="24" t="str">
        <f>'Input - Bookings'!M570</f>
        <v>H3.0XT</v>
      </c>
      <c r="I570" s="24" t="str">
        <f>'Input - Bookings'!B570</f>
        <v>AUD</v>
      </c>
      <c r="J570" s="13" t="str">
        <f>IF(I570="USD",INDEX('AP Plants'!A:A,MATCH(G570,'AP Plants'!D:D,0)),INDEX('Australia Plants'!A:A,MATCH(G570,'Australia Plants'!D:D,0)))</f>
        <v>SN</v>
      </c>
      <c r="K570" s="73">
        <v>1</v>
      </c>
      <c r="L570" s="97">
        <v>48170</v>
      </c>
      <c r="M570" s="97">
        <v>33486.6</v>
      </c>
      <c r="N570" s="99">
        <v>9.5066156971581384E-2</v>
      </c>
      <c r="O570" s="25">
        <f t="shared" si="169"/>
        <v>0.30482457961386755</v>
      </c>
      <c r="P570" s="14">
        <f>IFERROR(IF(OR(B570&amp;C570="PAU",B570&amp;C570="AIN"),VLOOKUP(B570&amp;C570&amp;G570,#REF!,8,0),VLOOKUP(B570&amp;G570,#REF!,8,0)),0)</f>
        <v>0</v>
      </c>
      <c r="Q570" s="15">
        <f t="shared" si="170"/>
        <v>9.5066156971581384E-2</v>
      </c>
      <c r="R570" s="16" t="str">
        <f t="shared" si="171"/>
        <v>AOP</v>
      </c>
      <c r="S570" s="17">
        <f t="shared" si="167"/>
        <v>3183.442372044557</v>
      </c>
      <c r="T570" s="18" t="e">
        <f t="shared" si="172"/>
        <v>#DIV/0!</v>
      </c>
      <c r="U570" s="23" t="e">
        <f t="shared" si="164"/>
        <v>#DIV/0!</v>
      </c>
      <c r="Y570" s="8" t="str">
        <f t="shared" si="173"/>
        <v>PAUH69237H3.0XT</v>
      </c>
      <c r="Z570" s="8" t="str">
        <f>IF(Y570='Input - Bookings'!Q803,"OK","Check")</f>
        <v>Check</v>
      </c>
      <c r="AA570" s="118"/>
      <c r="AB570" s="71"/>
      <c r="AC570" s="71"/>
      <c r="AD570" s="100">
        <v>18547.369575950404</v>
      </c>
      <c r="AE570" s="98"/>
      <c r="AF570" s="8" t="str">
        <f t="array" ref="AF570">_xlfn.XLOOKUP($G570,'AP Plants'!D:D,'AP Plants'!B:B)</f>
        <v>Class 5 NOT BT</v>
      </c>
      <c r="AG570" s="102">
        <f>AD570*'Currency &amp; Conversion'!$L$6</f>
        <v>27620.742772505342</v>
      </c>
      <c r="AH570" s="102"/>
      <c r="AI570" s="44">
        <v>1.4999999999999999E-2</v>
      </c>
      <c r="AJ570" s="15">
        <f>_xlfn.XLOOKUP($AF570,Warranty!B:B,Warranty!E:E)</f>
        <v>5.0000000000000001E-3</v>
      </c>
      <c r="AK570" s="8">
        <f>IF($I570="AUD",VLOOKUP(RIGHT('Wk - Margins'!$G570,3),'AU Freight'!C:G,5,0),0)</f>
        <v>2130</v>
      </c>
      <c r="AL570" s="15">
        <f t="shared" si="165"/>
        <v>0</v>
      </c>
      <c r="AM570" s="61">
        <f t="shared" si="174"/>
        <v>30303.157627955443</v>
      </c>
      <c r="AN570" s="63">
        <f t="shared" si="166"/>
        <v>9.5066156971581384E-2</v>
      </c>
      <c r="AQ570" s="147"/>
    </row>
    <row r="571" spans="1:43">
      <c r="A571" s="10" t="str">
        <f>'Input - Bookings'!A571</f>
        <v>10-30</v>
      </c>
      <c r="B571" s="11" t="str">
        <f>'Input - Bookings'!C571</f>
        <v>P</v>
      </c>
      <c r="C571" s="11" t="str">
        <f>'Input - Bookings'!H571</f>
        <v>AU</v>
      </c>
      <c r="D571" s="24" t="str">
        <f>'Input - Bookings'!E571</f>
        <v>065</v>
      </c>
      <c r="E571" s="24" t="str">
        <f>'Input - Bookings'!G571</f>
        <v>ADAPT-A-LIFT GROUP (WA)</v>
      </c>
      <c r="F571" s="24" t="str">
        <f>'Input - Bookings'!I571</f>
        <v>H69238</v>
      </c>
      <c r="G571" s="24" t="str">
        <f>'Input - Bookings'!L571</f>
        <v>D466</v>
      </c>
      <c r="H571" s="24" t="str">
        <f>'Input - Bookings'!M571</f>
        <v>H3.0XT</v>
      </c>
      <c r="I571" s="24" t="str">
        <f>'Input - Bookings'!B571</f>
        <v>AUD</v>
      </c>
      <c r="J571" s="13" t="str">
        <f>IF(I571="USD",INDEX('AP Plants'!A:A,MATCH(G571,'AP Plants'!D:D,0)),INDEX('Australia Plants'!A:A,MATCH(G571,'Australia Plants'!D:D,0)))</f>
        <v>SN</v>
      </c>
      <c r="K571" s="73">
        <v>1</v>
      </c>
      <c r="L571" s="97">
        <v>48170</v>
      </c>
      <c r="M571" s="97">
        <v>33486.6</v>
      </c>
      <c r="N571" s="99">
        <v>9.5066156971581384E-2</v>
      </c>
      <c r="O571" s="25">
        <f t="shared" si="169"/>
        <v>0.30482457961386755</v>
      </c>
      <c r="P571" s="14">
        <f>IFERROR(IF(OR(B571&amp;C571="PAU",B571&amp;C571="AIN"),VLOOKUP(B571&amp;C571&amp;G571,#REF!,8,0),VLOOKUP(B571&amp;G571,#REF!,8,0)),0)</f>
        <v>0</v>
      </c>
      <c r="Q571" s="15">
        <f t="shared" si="170"/>
        <v>9.5066156971581384E-2</v>
      </c>
      <c r="R571" s="16" t="str">
        <f t="shared" si="171"/>
        <v>AOP</v>
      </c>
      <c r="S571" s="17">
        <f t="shared" si="167"/>
        <v>3183.442372044557</v>
      </c>
      <c r="T571" s="18" t="e">
        <f t="shared" si="172"/>
        <v>#DIV/0!</v>
      </c>
      <c r="U571" s="23" t="e">
        <f t="shared" si="164"/>
        <v>#DIV/0!</v>
      </c>
      <c r="Y571" s="8" t="str">
        <f t="shared" si="173"/>
        <v>PAUH69238H3.0XT</v>
      </c>
      <c r="Z571" s="8" t="str">
        <f>IF(Y571='Input - Bookings'!Q804,"OK","Check")</f>
        <v>Check</v>
      </c>
      <c r="AA571" s="118"/>
      <c r="AB571" s="71"/>
      <c r="AC571" s="71"/>
      <c r="AD571" s="100">
        <v>18547.369575950404</v>
      </c>
      <c r="AE571" s="98"/>
      <c r="AF571" s="8" t="str">
        <f t="array" ref="AF571">_xlfn.XLOOKUP($G571,'AP Plants'!D:D,'AP Plants'!B:B)</f>
        <v>Class 5 NOT BT</v>
      </c>
      <c r="AG571" s="102">
        <f>AD571*'Currency &amp; Conversion'!$L$6</f>
        <v>27620.742772505342</v>
      </c>
      <c r="AH571" s="102"/>
      <c r="AI571" s="44">
        <v>1.4999999999999999E-2</v>
      </c>
      <c r="AJ571" s="15">
        <f>_xlfn.XLOOKUP($AF571,Warranty!B:B,Warranty!E:E)</f>
        <v>5.0000000000000001E-3</v>
      </c>
      <c r="AK571" s="8">
        <f>IF($I571="AUD",VLOOKUP(RIGHT('Wk - Margins'!$G571,3),'AU Freight'!C:G,5,0),0)</f>
        <v>2130</v>
      </c>
      <c r="AL571" s="15">
        <f t="shared" si="165"/>
        <v>0</v>
      </c>
      <c r="AM571" s="61">
        <f t="shared" si="174"/>
        <v>30303.157627955443</v>
      </c>
      <c r="AN571" s="63">
        <f t="shared" si="166"/>
        <v>9.5066156971581384E-2</v>
      </c>
      <c r="AQ571" s="147"/>
    </row>
    <row r="572" spans="1:43">
      <c r="A572" s="10" t="str">
        <f>'Input - Bookings'!A572</f>
        <v>10-30</v>
      </c>
      <c r="B572" s="11" t="str">
        <f>'Input - Bookings'!C572</f>
        <v>P</v>
      </c>
      <c r="C572" s="11" t="str">
        <f>'Input - Bookings'!H572</f>
        <v>AU</v>
      </c>
      <c r="D572" s="24" t="str">
        <f>'Input - Bookings'!E572</f>
        <v>065</v>
      </c>
      <c r="E572" s="24" t="str">
        <f>'Input - Bookings'!G572</f>
        <v>ADAPT-A-LIFT GROUP (WA)</v>
      </c>
      <c r="F572" s="24" t="str">
        <f>'Input - Bookings'!I572</f>
        <v>H69231</v>
      </c>
      <c r="G572" s="24" t="str">
        <f>'Input - Bookings'!L572</f>
        <v>P006</v>
      </c>
      <c r="H572" s="24" t="str">
        <f>'Input - Bookings'!M572</f>
        <v>H155FT</v>
      </c>
      <c r="I572" s="24" t="str">
        <f>'Input - Bookings'!B572</f>
        <v>AUD</v>
      </c>
      <c r="J572" s="13" t="str">
        <f>IF(I572="USD",INDEX('AP Plants'!A:A,MATCH(G572,'AP Plants'!D:D,0)),INDEX('Australia Plants'!A:A,MATCH(G572,'Australia Plants'!D:D,0)))</f>
        <v>Berea</v>
      </c>
      <c r="K572" s="73">
        <v>1</v>
      </c>
      <c r="L572" s="97">
        <v>159745</v>
      </c>
      <c r="M572" s="97">
        <v>116452.6</v>
      </c>
      <c r="N572" s="99">
        <v>0.15242118586254139</v>
      </c>
      <c r="O572" s="25">
        <f t="shared" si="169"/>
        <v>0.27100942126514127</v>
      </c>
      <c r="P572" s="14">
        <f>IFERROR(IF(OR(B572&amp;C572="PAU",B572&amp;C572="AIN"),VLOOKUP(B572&amp;C572&amp;G572,#REF!,8,0),VLOOKUP(B572&amp;G572,#REF!,8,0)),0)</f>
        <v>0</v>
      </c>
      <c r="Q572" s="15">
        <f t="shared" si="170"/>
        <v>0.15242118586254139</v>
      </c>
      <c r="R572" s="16" t="str">
        <f t="shared" si="171"/>
        <v>AOP</v>
      </c>
      <c r="S572" s="17">
        <f t="shared" si="167"/>
        <v>17749.843388776189</v>
      </c>
      <c r="T572" s="18" t="e">
        <f t="shared" si="172"/>
        <v>#DIV/0!</v>
      </c>
      <c r="U572" s="23" t="e">
        <f t="shared" si="164"/>
        <v>#DIV/0!</v>
      </c>
      <c r="Y572" s="8" t="str">
        <f t="shared" si="173"/>
        <v>PAUH69231H155FT</v>
      </c>
      <c r="Z572" s="8" t="str">
        <f>IF(Y572='Input - Bookings'!Q805,"OK","Check")</f>
        <v>Check</v>
      </c>
      <c r="AA572" s="139"/>
      <c r="AB572" s="71">
        <v>0</v>
      </c>
      <c r="AC572" s="71">
        <v>0</v>
      </c>
      <c r="AD572" s="100">
        <v>62819.8</v>
      </c>
      <c r="AE572" s="98"/>
      <c r="AF572" s="8" t="str">
        <f t="array" ref="AF572">_xlfn.XLOOKUP($G572,'AP Plants'!D:D,'AP Plants'!B:B)</f>
        <v>Class 5 NOT BT</v>
      </c>
      <c r="AG572" s="102">
        <f>(AD572*(1+VLOOKUP(J572,'Currency &amp; Conversion'!$F$12:$I$18,2,0))*'Currency &amp; Conversion'!$L$6)+((AB572+AC572)*90%)</f>
        <v>92119.912093752006</v>
      </c>
      <c r="AH572" s="102"/>
      <c r="AI572" s="44">
        <v>1.4999999999999999E-2</v>
      </c>
      <c r="AJ572" s="15">
        <f>_xlfn.XLOOKUP($AF572,Warranty!B:B,Warranty!E:E)</f>
        <v>5.0000000000000001E-3</v>
      </c>
      <c r="AK572" s="8">
        <f>IF($I572="AUD",VLOOKUP(RIGHT('Wk - Margins'!$G572,3),'AU Freight'!C:G,5,0),0)</f>
        <v>6595</v>
      </c>
      <c r="AL572" s="15">
        <f t="shared" si="165"/>
        <v>0</v>
      </c>
      <c r="AM572" s="61">
        <f t="shared" si="174"/>
        <v>100557.31033562703</v>
      </c>
      <c r="AN572" s="63">
        <f t="shared" si="166"/>
        <v>0.13649579025606107</v>
      </c>
      <c r="AQ572" s="147"/>
    </row>
    <row r="573" spans="1:43">
      <c r="A573" s="10" t="str">
        <f>'Input - Bookings'!A573</f>
        <v>10-30</v>
      </c>
      <c r="B573" s="11" t="str">
        <f>'Input - Bookings'!C573</f>
        <v>P</v>
      </c>
      <c r="C573" s="11" t="str">
        <f>'Input - Bookings'!H573</f>
        <v>AU</v>
      </c>
      <c r="D573" s="24" t="str">
        <f>'Input - Bookings'!E573</f>
        <v>065</v>
      </c>
      <c r="E573" s="24" t="str">
        <f>'Input - Bookings'!G573</f>
        <v>ADAPT-A-LIFT GROUP (WA)</v>
      </c>
      <c r="F573" s="24" t="str">
        <f>'Input - Bookings'!I573</f>
        <v>H69235</v>
      </c>
      <c r="G573" s="24" t="str">
        <f>'Input - Bookings'!L573</f>
        <v>P006</v>
      </c>
      <c r="H573" s="24" t="str">
        <f>'Input - Bookings'!M573</f>
        <v>H155FT</v>
      </c>
      <c r="I573" s="24" t="str">
        <f>'Input - Bookings'!B573</f>
        <v>AUD</v>
      </c>
      <c r="J573" s="13" t="str">
        <f>IF(I573="USD",INDEX('AP Plants'!A:A,MATCH(G573,'AP Plants'!D:D,0)),INDEX('Australia Plants'!A:A,MATCH(G573,'Australia Plants'!D:D,0)))</f>
        <v>Berea</v>
      </c>
      <c r="K573" s="73">
        <v>1</v>
      </c>
      <c r="L573" s="97">
        <v>159745</v>
      </c>
      <c r="M573" s="97">
        <v>116452.6</v>
      </c>
      <c r="N573" s="99">
        <v>0.15242118586254139</v>
      </c>
      <c r="O573" s="25">
        <f t="shared" si="169"/>
        <v>0.27100942126514127</v>
      </c>
      <c r="P573" s="14">
        <f>IFERROR(IF(OR(B573&amp;C573="PAU",B573&amp;C573="AIN"),VLOOKUP(B573&amp;C573&amp;G573,#REF!,8,0),VLOOKUP(B573&amp;G573,#REF!,8,0)),0)</f>
        <v>0</v>
      </c>
      <c r="Q573" s="15">
        <f t="shared" si="170"/>
        <v>0.15242118586254139</v>
      </c>
      <c r="R573" s="16" t="str">
        <f t="shared" si="171"/>
        <v>AOP</v>
      </c>
      <c r="S573" s="17">
        <f t="shared" si="167"/>
        <v>17749.843388776189</v>
      </c>
      <c r="T573" s="18" t="e">
        <f t="shared" si="172"/>
        <v>#DIV/0!</v>
      </c>
      <c r="U573" s="23" t="e">
        <f t="shared" si="164"/>
        <v>#DIV/0!</v>
      </c>
      <c r="Y573" s="8" t="str">
        <f t="shared" si="173"/>
        <v>PAUH69235H155FT</v>
      </c>
      <c r="Z573" s="8" t="str">
        <f>IF(Y573='Input - Bookings'!Q806,"OK","Check")</f>
        <v>Check</v>
      </c>
      <c r="AA573" s="139"/>
      <c r="AB573" s="71">
        <v>0</v>
      </c>
      <c r="AC573" s="71">
        <v>0</v>
      </c>
      <c r="AD573" s="100">
        <v>62819.8</v>
      </c>
      <c r="AE573" s="98"/>
      <c r="AF573" s="8" t="str">
        <f t="array" ref="AF573">_xlfn.XLOOKUP($G573,'AP Plants'!D:D,'AP Plants'!B:B)</f>
        <v>Class 5 NOT BT</v>
      </c>
      <c r="AG573" s="102">
        <f>(AD573*(1+VLOOKUP(J573,'Currency &amp; Conversion'!$F$12:$I$18,2,0))*'Currency &amp; Conversion'!$L$6)+((AB573+AC573)*90%)</f>
        <v>92119.912093752006</v>
      </c>
      <c r="AH573" s="102"/>
      <c r="AI573" s="44">
        <v>1.4999999999999999E-2</v>
      </c>
      <c r="AJ573" s="15">
        <f>_xlfn.XLOOKUP($AF573,Warranty!B:B,Warranty!E:E)</f>
        <v>5.0000000000000001E-3</v>
      </c>
      <c r="AK573" s="8">
        <f>IF($I573="AUD",VLOOKUP(RIGHT('Wk - Margins'!$G573,3),'AU Freight'!C:G,5,0),0)</f>
        <v>6595</v>
      </c>
      <c r="AL573" s="15">
        <f t="shared" si="165"/>
        <v>0</v>
      </c>
      <c r="AM573" s="61">
        <f t="shared" si="174"/>
        <v>100557.31033562703</v>
      </c>
      <c r="AN573" s="63">
        <f t="shared" si="166"/>
        <v>0.13649579025606107</v>
      </c>
      <c r="AQ573" s="147"/>
    </row>
    <row r="574" spans="1:43">
      <c r="A574" s="10" t="str">
        <f>'Input - Bookings'!A574</f>
        <v>10-30</v>
      </c>
      <c r="B574" s="11" t="str">
        <f>'Input - Bookings'!C574</f>
        <v>P</v>
      </c>
      <c r="C574" s="11" t="str">
        <f>'Input - Bookings'!H574</f>
        <v>AU</v>
      </c>
      <c r="D574" s="24" t="str">
        <f>'Input - Bookings'!E574</f>
        <v>065</v>
      </c>
      <c r="E574" s="24" t="str">
        <f>'Input - Bookings'!G574</f>
        <v>ADAPT-A-LIFT GROUP (WA)</v>
      </c>
      <c r="F574" s="24" t="str">
        <f>'Input - Bookings'!I574</f>
        <v>H69236</v>
      </c>
      <c r="G574" s="24" t="str">
        <f>'Input - Bookings'!L574</f>
        <v>P006</v>
      </c>
      <c r="H574" s="24" t="str">
        <f>'Input - Bookings'!M574</f>
        <v>H155FT</v>
      </c>
      <c r="I574" s="24" t="str">
        <f>'Input - Bookings'!B574</f>
        <v>AUD</v>
      </c>
      <c r="J574" s="13" t="str">
        <f>IF(I574="USD",INDEX('AP Plants'!A:A,MATCH(G574,'AP Plants'!D:D,0)),INDEX('Australia Plants'!A:A,MATCH(G574,'Australia Plants'!D:D,0)))</f>
        <v>Berea</v>
      </c>
      <c r="K574" s="73">
        <v>1</v>
      </c>
      <c r="L574" s="97">
        <v>159745</v>
      </c>
      <c r="M574" s="97">
        <v>116452.6</v>
      </c>
      <c r="N574" s="99">
        <v>0.15242118586254139</v>
      </c>
      <c r="O574" s="25">
        <f t="shared" si="169"/>
        <v>0.27100942126514127</v>
      </c>
      <c r="P574" s="14">
        <f>IFERROR(IF(OR(B574&amp;C574="PAU",B574&amp;C574="AIN"),VLOOKUP(B574&amp;C574&amp;G574,#REF!,8,0),VLOOKUP(B574&amp;G574,#REF!,8,0)),0)</f>
        <v>0</v>
      </c>
      <c r="Q574" s="15">
        <f t="shared" si="170"/>
        <v>0.15242118586254139</v>
      </c>
      <c r="R574" s="16" t="str">
        <f t="shared" si="171"/>
        <v>AOP</v>
      </c>
      <c r="S574" s="17">
        <f t="shared" si="167"/>
        <v>17749.843388776189</v>
      </c>
      <c r="T574" s="18" t="e">
        <f t="shared" si="172"/>
        <v>#DIV/0!</v>
      </c>
      <c r="U574" s="23" t="e">
        <f t="shared" si="164"/>
        <v>#DIV/0!</v>
      </c>
      <c r="Y574" s="8" t="str">
        <f t="shared" si="173"/>
        <v>PAUH69236H155FT</v>
      </c>
      <c r="Z574" s="8" t="str">
        <f>IF(Y574='Input - Bookings'!Q807,"OK","Check")</f>
        <v>Check</v>
      </c>
      <c r="AA574" s="139"/>
      <c r="AB574" s="71">
        <v>0</v>
      </c>
      <c r="AC574" s="71">
        <v>0</v>
      </c>
      <c r="AD574" s="100">
        <v>62819.8</v>
      </c>
      <c r="AE574" s="98"/>
      <c r="AF574" s="8" t="str">
        <f t="array" ref="AF574">_xlfn.XLOOKUP($G574,'AP Plants'!D:D,'AP Plants'!B:B)</f>
        <v>Class 5 NOT BT</v>
      </c>
      <c r="AG574" s="102">
        <f>(AD574*(1+VLOOKUP(J574,'Currency &amp; Conversion'!$F$12:$I$18,2,0))*'Currency &amp; Conversion'!$L$6)+((AB574+AC574)*90%)</f>
        <v>92119.912093752006</v>
      </c>
      <c r="AH574" s="102"/>
      <c r="AI574" s="44">
        <v>1.4999999999999999E-2</v>
      </c>
      <c r="AJ574" s="15">
        <f>_xlfn.XLOOKUP($AF574,Warranty!B:B,Warranty!E:E)</f>
        <v>5.0000000000000001E-3</v>
      </c>
      <c r="AK574" s="8">
        <f>IF($I574="AUD",VLOOKUP(RIGHT('Wk - Margins'!$G574,3),'AU Freight'!C:G,5,0),0)</f>
        <v>6595</v>
      </c>
      <c r="AL574" s="15">
        <f t="shared" si="165"/>
        <v>0</v>
      </c>
      <c r="AM574" s="61">
        <f t="shared" si="174"/>
        <v>100557.31033562703</v>
      </c>
      <c r="AN574" s="63">
        <f t="shared" si="166"/>
        <v>0.13649579025606107</v>
      </c>
      <c r="AQ574" s="147"/>
    </row>
    <row r="575" spans="1:43">
      <c r="A575" s="10" t="str">
        <f>'Input - Bookings'!A575</f>
        <v>10-30</v>
      </c>
      <c r="B575" s="11" t="str">
        <f>'Input - Bookings'!C575</f>
        <v>P</v>
      </c>
      <c r="C575" s="11" t="str">
        <f>'Input - Bookings'!H575</f>
        <v>AU</v>
      </c>
      <c r="D575" s="24" t="str">
        <f>'Input - Bookings'!E575</f>
        <v>065</v>
      </c>
      <c r="E575" s="24" t="str">
        <f>'Input - Bookings'!G575</f>
        <v>ADAPT-A-LIFT GROUP (WA)</v>
      </c>
      <c r="F575" s="24" t="str">
        <f>'Input - Bookings'!I575</f>
        <v>H69234</v>
      </c>
      <c r="G575" s="24" t="str">
        <f>'Input - Bookings'!L575</f>
        <v>D299</v>
      </c>
      <c r="H575" s="24" t="str">
        <f>'Input - Bookings'!M575</f>
        <v>H190FT</v>
      </c>
      <c r="I575" s="24" t="str">
        <f>'Input - Bookings'!B575</f>
        <v>AUD</v>
      </c>
      <c r="J575" s="13" t="str">
        <f>IF(I575="USD",INDEX('AP Plants'!A:A,MATCH(G575,'AP Plants'!D:D,0)),INDEX('Australia Plants'!A:A,MATCH(G575,'Australia Plants'!D:D,0)))</f>
        <v>Berea</v>
      </c>
      <c r="K575" s="73">
        <v>1</v>
      </c>
      <c r="L575" s="97">
        <v>241910</v>
      </c>
      <c r="M575" s="97">
        <v>147302.67000000001</v>
      </c>
      <c r="N575" s="99">
        <v>0.17749521013104508</v>
      </c>
      <c r="O575" s="25">
        <f t="shared" si="169"/>
        <v>0.39108482493489305</v>
      </c>
      <c r="P575" s="14">
        <f>IFERROR(IF(OR(B575&amp;C575="PAU",B575&amp;C575="AIN"),VLOOKUP(B575&amp;C575&amp;G575,#REF!,8,0),VLOOKUP(B575&amp;G575,#REF!,8,0)),0)</f>
        <v>0</v>
      </c>
      <c r="Q575" s="15">
        <f t="shared" si="170"/>
        <v>0.17749521013104508</v>
      </c>
      <c r="R575" s="16" t="str">
        <f t="shared" si="171"/>
        <v>AOP</v>
      </c>
      <c r="S575" s="17">
        <f t="shared" si="167"/>
        <v>26145.518364513991</v>
      </c>
      <c r="T575" s="18" t="e">
        <f t="shared" si="172"/>
        <v>#DIV/0!</v>
      </c>
      <c r="U575" s="23" t="e">
        <f t="shared" si="164"/>
        <v>#DIV/0!</v>
      </c>
      <c r="Y575" s="8" t="str">
        <f t="shared" si="173"/>
        <v>PAUH69234H190FT</v>
      </c>
      <c r="Z575" s="8" t="str">
        <f>IF(Y575='Input - Bookings'!Q808,"OK","Check")</f>
        <v>Check</v>
      </c>
      <c r="AA575" s="139"/>
      <c r="AB575" s="71">
        <v>0</v>
      </c>
      <c r="AC575" s="71">
        <v>0</v>
      </c>
      <c r="AD575" s="100">
        <v>76321.34</v>
      </c>
      <c r="AE575" s="98"/>
      <c r="AF575" s="8" t="str">
        <f t="array" ref="AF575">_xlfn.XLOOKUP($G575,'AP Plants'!D:D,'AP Plants'!B:B)</f>
        <v>Class 5 NOT BT</v>
      </c>
      <c r="AG575" s="102">
        <f>(AD575*(1+VLOOKUP(J575,'Currency &amp; Conversion'!$F$12:$I$18,2,0))*'Currency &amp; Conversion'!$L$6)+((AB575+AC575)*90%)</f>
        <v>111918.77611322161</v>
      </c>
      <c r="AH575" s="102"/>
      <c r="AI575" s="44">
        <v>1.4999999999999999E-2</v>
      </c>
      <c r="AJ575" s="15">
        <f>_xlfn.XLOOKUP($AF575,Warranty!B:B,Warranty!E:E)</f>
        <v>5.0000000000000001E-3</v>
      </c>
      <c r="AK575" s="8">
        <f>IF($I575="AUD",VLOOKUP(RIGHT('Wk - Margins'!$G575,3),'AU Freight'!C:G,5,0),0)</f>
        <v>7000</v>
      </c>
      <c r="AL575" s="15">
        <f t="shared" si="165"/>
        <v>0</v>
      </c>
      <c r="AM575" s="61">
        <f t="shared" si="174"/>
        <v>121157.15163548602</v>
      </c>
      <c r="AN575" s="63">
        <f t="shared" si="166"/>
        <v>0.17749521013104508</v>
      </c>
      <c r="AQ575" s="147"/>
    </row>
    <row r="576" spans="1:43">
      <c r="A576" s="10" t="str">
        <f>'Input - Bookings'!A576</f>
        <v>10-30</v>
      </c>
      <c r="B576" s="11" t="str">
        <f>'Input - Bookings'!C576</f>
        <v>P</v>
      </c>
      <c r="C576" s="11" t="str">
        <f>'Input - Bookings'!H576</f>
        <v>AU</v>
      </c>
      <c r="D576" s="24" t="str">
        <f>'Input - Bookings'!E576</f>
        <v>067</v>
      </c>
      <c r="E576" s="24" t="str">
        <f>'Input - Bookings'!G576</f>
        <v>SOUTH QUEENSLAND HANDLING</v>
      </c>
      <c r="F576" s="24" t="str">
        <f>'Input - Bookings'!I576</f>
        <v>H69193</v>
      </c>
      <c r="G576" s="24" t="str">
        <f>'Input - Bookings'!L576</f>
        <v>C881</v>
      </c>
      <c r="H576" s="24" t="str">
        <f>'Input - Bookings'!M576</f>
        <v>FB25RZ</v>
      </c>
      <c r="I576" s="24" t="str">
        <f>'Input - Bookings'!B576</f>
        <v>AUD</v>
      </c>
      <c r="J576" s="13" t="str">
        <f>IF(I576="USD",INDEX('AP Plants'!A:A,MATCH(G576,'AP Plants'!D:D,0)),INDEX('Australia Plants'!A:A,MATCH(G576,'Australia Plants'!D:D,0)))</f>
        <v>SN</v>
      </c>
      <c r="K576" s="73">
        <v>1</v>
      </c>
      <c r="L576" s="97">
        <v>42280</v>
      </c>
      <c r="M576" s="97">
        <v>33282.6</v>
      </c>
      <c r="N576" s="99">
        <v>0.19040505815523567</v>
      </c>
      <c r="O576" s="25">
        <f t="shared" si="169"/>
        <v>0.21280510879848635</v>
      </c>
      <c r="P576" s="14">
        <f>IFERROR(IF(OR(B576&amp;C576="PAU",B576&amp;C576="AIN"),VLOOKUP(B576&amp;C576&amp;G576,#REF!,8,0),VLOOKUP(B576&amp;G576,#REF!,8,0)),0)</f>
        <v>0</v>
      </c>
      <c r="Q576" s="15">
        <f t="shared" si="170"/>
        <v>0.19040505815523567</v>
      </c>
      <c r="R576" s="16" t="str">
        <f t="shared" si="171"/>
        <v>AOP</v>
      </c>
      <c r="S576" s="17">
        <f t="shared" si="167"/>
        <v>6337.1753885574462</v>
      </c>
      <c r="T576" s="18" t="e">
        <f t="shared" si="172"/>
        <v>#DIV/0!</v>
      </c>
      <c r="U576" s="23" t="e">
        <f t="shared" si="164"/>
        <v>#DIV/0!</v>
      </c>
      <c r="Y576" s="8" t="str">
        <f t="shared" si="173"/>
        <v>PAUH69193FB25RZ</v>
      </c>
      <c r="Z576" s="8" t="str">
        <f>IF(Y576='Input - Bookings'!Q809,"OK","Check")</f>
        <v>Check</v>
      </c>
      <c r="AA576" s="118"/>
      <c r="AB576" s="71"/>
      <c r="AC576" s="71"/>
      <c r="AD576" s="100">
        <v>16326.982121893683</v>
      </c>
      <c r="AE576" s="98"/>
      <c r="AF576" s="8" t="str">
        <f t="array" ref="AF576">_xlfn.XLOOKUP($G576,'AP Plants'!D:D,'AP Plants'!B:B)</f>
        <v>Class 1</v>
      </c>
      <c r="AG576" s="102">
        <f>AD576*'Currency &amp; Conversion'!$L$6</f>
        <v>24314.141775924076</v>
      </c>
      <c r="AH576" s="102"/>
      <c r="AI576" s="44">
        <v>1.4999999999999999E-2</v>
      </c>
      <c r="AJ576" s="15">
        <f>_xlfn.XLOOKUP($AF576,Warranty!B:B,Warranty!E:E)</f>
        <v>5.0000000000000001E-3</v>
      </c>
      <c r="AK576" s="8">
        <f>IF($I576="AUD",VLOOKUP(RIGHT('Wk - Margins'!$G576,3),'AU Freight'!C:G,5,0),0)</f>
        <v>2145</v>
      </c>
      <c r="AL576" s="15">
        <f t="shared" si="165"/>
        <v>0</v>
      </c>
      <c r="AM576" s="61">
        <f t="shared" si="174"/>
        <v>26945.424611442551</v>
      </c>
      <c r="AN576" s="63">
        <f t="shared" si="166"/>
        <v>0.19040505815523567</v>
      </c>
      <c r="AQ576" s="147"/>
    </row>
    <row r="577" spans="1:43">
      <c r="A577" s="10" t="str">
        <f>'Input - Bookings'!A577</f>
        <v>10-30</v>
      </c>
      <c r="B577" s="11" t="str">
        <f>'Input - Bookings'!C577</f>
        <v>P</v>
      </c>
      <c r="C577" s="11" t="str">
        <f>'Input - Bookings'!H577</f>
        <v>AU</v>
      </c>
      <c r="D577" s="24" t="str">
        <f>'Input - Bookings'!E577</f>
        <v>067</v>
      </c>
      <c r="E577" s="24" t="str">
        <f>'Input - Bookings'!G577</f>
        <v>SOUTH QUEENSLAND HANDLING</v>
      </c>
      <c r="F577" s="24" t="str">
        <f>'Input - Bookings'!I577</f>
        <v>H69194</v>
      </c>
      <c r="G577" s="24" t="str">
        <f>'Input - Bookings'!L577</f>
        <v>C881</v>
      </c>
      <c r="H577" s="24" t="str">
        <f>'Input - Bookings'!M577</f>
        <v>FB25RZ</v>
      </c>
      <c r="I577" s="24" t="str">
        <f>'Input - Bookings'!B577</f>
        <v>AUD</v>
      </c>
      <c r="J577" s="13" t="str">
        <f>IF(I577="USD",INDEX('AP Plants'!A:A,MATCH(G577,'AP Plants'!D:D,0)),INDEX('Australia Plants'!A:A,MATCH(G577,'Australia Plants'!D:D,0)))</f>
        <v>SN</v>
      </c>
      <c r="K577" s="73">
        <v>1</v>
      </c>
      <c r="L577" s="97">
        <v>42280</v>
      </c>
      <c r="M577" s="97">
        <v>33282.6</v>
      </c>
      <c r="N577" s="99">
        <v>0.19040505815523567</v>
      </c>
      <c r="O577" s="25">
        <f t="shared" si="169"/>
        <v>0.21280510879848635</v>
      </c>
      <c r="P577" s="14">
        <f>IFERROR(IF(OR(B577&amp;C577="PAU",B577&amp;C577="AIN"),VLOOKUP(B577&amp;C577&amp;G577,#REF!,8,0),VLOOKUP(B577&amp;G577,#REF!,8,0)),0)</f>
        <v>0</v>
      </c>
      <c r="Q577" s="15">
        <f t="shared" si="170"/>
        <v>0.19040505815523567</v>
      </c>
      <c r="R577" s="16" t="str">
        <f t="shared" si="171"/>
        <v>AOP</v>
      </c>
      <c r="S577" s="17">
        <f t="shared" si="167"/>
        <v>6337.1753885574462</v>
      </c>
      <c r="T577" s="18" t="e">
        <f t="shared" si="172"/>
        <v>#DIV/0!</v>
      </c>
      <c r="U577" s="23" t="e">
        <f t="shared" si="164"/>
        <v>#DIV/0!</v>
      </c>
      <c r="Y577" s="8" t="str">
        <f t="shared" si="173"/>
        <v>PAUH69194FB25RZ</v>
      </c>
      <c r="Z577" s="8" t="str">
        <f>IF(Y577='Input - Bookings'!Q810,"OK","Check")</f>
        <v>Check</v>
      </c>
      <c r="AA577" s="118"/>
      <c r="AB577" s="71"/>
      <c r="AC577" s="71"/>
      <c r="AD577" s="100">
        <v>16326.982121893683</v>
      </c>
      <c r="AE577" s="98"/>
      <c r="AF577" s="8" t="str">
        <f t="array" ref="AF577">_xlfn.XLOOKUP($G577,'AP Plants'!D:D,'AP Plants'!B:B)</f>
        <v>Class 1</v>
      </c>
      <c r="AG577" s="102">
        <f>AD577*'Currency &amp; Conversion'!$L$6</f>
        <v>24314.141775924076</v>
      </c>
      <c r="AH577" s="102"/>
      <c r="AI577" s="44">
        <v>1.4999999999999999E-2</v>
      </c>
      <c r="AJ577" s="15">
        <f>_xlfn.XLOOKUP($AF577,Warranty!B:B,Warranty!E:E)</f>
        <v>5.0000000000000001E-3</v>
      </c>
      <c r="AK577" s="8">
        <f>IF($I577="AUD",VLOOKUP(RIGHT('Wk - Margins'!$G577,3),'AU Freight'!C:G,5,0),0)</f>
        <v>2145</v>
      </c>
      <c r="AL577" s="15">
        <f t="shared" si="165"/>
        <v>0</v>
      </c>
      <c r="AM577" s="61">
        <f t="shared" si="174"/>
        <v>26945.424611442551</v>
      </c>
      <c r="AN577" s="63">
        <f t="shared" si="166"/>
        <v>0.19040505815523567</v>
      </c>
      <c r="AQ577" s="147"/>
    </row>
    <row r="578" spans="1:43">
      <c r="A578" s="10" t="str">
        <f>'Input - Bookings'!A578</f>
        <v>10-31</v>
      </c>
      <c r="B578" s="11" t="str">
        <f>'Input - Bookings'!C578</f>
        <v>P</v>
      </c>
      <c r="C578" s="11" t="str">
        <f>'Input - Bookings'!H578</f>
        <v>AU</v>
      </c>
      <c r="D578" s="24" t="str">
        <f>'Input - Bookings'!E578</f>
        <v>065</v>
      </c>
      <c r="E578" s="24" t="str">
        <f>'Input - Bookings'!G578</f>
        <v>ADAPT-A-LIFT GROUP (QLD)</v>
      </c>
      <c r="F578" s="24" t="str">
        <f>'Input - Bookings'!I578</f>
        <v>H69254</v>
      </c>
      <c r="G578" s="24" t="str">
        <f>'Input - Bookings'!L578</f>
        <v>D466</v>
      </c>
      <c r="H578" s="24" t="str">
        <f>'Input - Bookings'!M578</f>
        <v>H2.5XT</v>
      </c>
      <c r="I578" s="24" t="str">
        <f>'Input - Bookings'!B578</f>
        <v>AUD</v>
      </c>
      <c r="J578" s="13" t="str">
        <f>IF(I578="USD",INDEX('AP Plants'!A:A,MATCH(G578,'AP Plants'!D:D,0)),INDEX('Australia Plants'!A:A,MATCH(G578,'Australia Plants'!D:D,0)))</f>
        <v>SN</v>
      </c>
      <c r="K578" s="73">
        <v>1</v>
      </c>
      <c r="L578" s="97">
        <v>42770</v>
      </c>
      <c r="M578" s="97">
        <v>33885.58</v>
      </c>
      <c r="N578" s="99">
        <v>0.13663812735101288</v>
      </c>
      <c r="O578" s="25">
        <f t="shared" si="169"/>
        <v>0.20772550853401917</v>
      </c>
      <c r="P578" s="14">
        <f>IFERROR(IF(OR(B578&amp;C578="PAU",B578&amp;C578="AIN"),VLOOKUP(B578&amp;C578&amp;G578,#REF!,8,0),VLOOKUP(B578&amp;G578,#REF!,8,0)),0)</f>
        <v>0</v>
      </c>
      <c r="Q578" s="15">
        <f t="shared" si="170"/>
        <v>0.13663812735101288</v>
      </c>
      <c r="R578" s="16" t="str">
        <f t="shared" si="171"/>
        <v>AOP</v>
      </c>
      <c r="S578" s="17">
        <f t="shared" si="167"/>
        <v>4630.0621954029357</v>
      </c>
      <c r="T578" s="18" t="e">
        <f t="shared" si="172"/>
        <v>#DIV/0!</v>
      </c>
      <c r="U578" s="23" t="e">
        <f t="shared" si="164"/>
        <v>#DIV/0!</v>
      </c>
      <c r="Y578" s="8" t="str">
        <f t="shared" si="173"/>
        <v>PAUH69254H2.5XT</v>
      </c>
      <c r="Z578" s="8" t="str">
        <f>IF(Y578='Input - Bookings'!Q811,"OK","Check")</f>
        <v>Check</v>
      </c>
      <c r="AA578" s="118"/>
      <c r="AB578" s="71"/>
      <c r="AC578" s="71"/>
      <c r="AD578" s="100">
        <v>17857.671841571122</v>
      </c>
      <c r="AE578" s="98"/>
      <c r="AF578" s="8" t="str">
        <f t="array" ref="AF578">_xlfn.XLOOKUP($G578,'AP Plants'!D:D,'AP Plants'!B:B)</f>
        <v>Class 5 NOT BT</v>
      </c>
      <c r="AG578" s="102">
        <f>AD578*'Currency &amp; Conversion'!$L$6</f>
        <v>26593.644906467718</v>
      </c>
      <c r="AH578" s="102"/>
      <c r="AI578" s="44">
        <v>1.4999999999999999E-2</v>
      </c>
      <c r="AJ578" s="15">
        <f>_xlfn.XLOOKUP($AF578,Warranty!B:B,Warranty!E:E)</f>
        <v>5.0000000000000001E-3</v>
      </c>
      <c r="AK578" s="8">
        <f>IF($I578="AUD",VLOOKUP(RIGHT('Wk - Margins'!$G578,3),'AU Freight'!C:G,5,0),0)</f>
        <v>2130</v>
      </c>
      <c r="AL578" s="15">
        <f t="shared" si="165"/>
        <v>0</v>
      </c>
      <c r="AM578" s="61">
        <f t="shared" si="174"/>
        <v>29255.517804597068</v>
      </c>
      <c r="AN578" s="63">
        <f t="shared" si="166"/>
        <v>0.13663812735101288</v>
      </c>
      <c r="AQ578" s="147"/>
    </row>
    <row r="579" spans="1:43">
      <c r="A579" s="10" t="str">
        <f>'Input - Bookings'!A579</f>
        <v>10-31</v>
      </c>
      <c r="B579" s="11" t="str">
        <f>'Input - Bookings'!C579</f>
        <v>P</v>
      </c>
      <c r="C579" s="11" t="str">
        <f>'Input - Bookings'!H579</f>
        <v>AU</v>
      </c>
      <c r="D579" s="24" t="str">
        <f>'Input - Bookings'!E579</f>
        <v>065</v>
      </c>
      <c r="E579" s="24" t="str">
        <f>'Input - Bookings'!G579</f>
        <v>ADAPT-A-LIFT GROUP (QLD)</v>
      </c>
      <c r="F579" s="24" t="str">
        <f>'Input - Bookings'!I579</f>
        <v>H69255</v>
      </c>
      <c r="G579" s="24" t="str">
        <f>'Input - Bookings'!L579</f>
        <v>D466</v>
      </c>
      <c r="H579" s="24" t="str">
        <f>'Input - Bookings'!M579</f>
        <v>H3.0XT</v>
      </c>
      <c r="I579" s="24" t="str">
        <f>'Input - Bookings'!B579</f>
        <v>AUD</v>
      </c>
      <c r="J579" s="13" t="str">
        <f>IF(I579="USD",INDEX('AP Plants'!A:A,MATCH(G579,'AP Plants'!D:D,0)),INDEX('Australia Plants'!A:A,MATCH(G579,'Australia Plants'!D:D,0)))</f>
        <v>SN</v>
      </c>
      <c r="K579" s="73">
        <v>1</v>
      </c>
      <c r="L579" s="97">
        <v>46560</v>
      </c>
      <c r="M579" s="97">
        <v>37827.72</v>
      </c>
      <c r="N579" s="99">
        <v>0.1672812899093461</v>
      </c>
      <c r="O579" s="25">
        <f t="shared" si="169"/>
        <v>0.18754896907216489</v>
      </c>
      <c r="P579" s="14">
        <f>IFERROR(IF(OR(B579&amp;C579="PAU",B579&amp;C579="AIN"),VLOOKUP(B579&amp;C579&amp;G579,#REF!,8,0),VLOOKUP(B579&amp;G579,#REF!,8,0)),0)</f>
        <v>0</v>
      </c>
      <c r="Q579" s="15">
        <f t="shared" si="170"/>
        <v>0.1672812899093461</v>
      </c>
      <c r="R579" s="16" t="str">
        <f t="shared" si="171"/>
        <v>AOP</v>
      </c>
      <c r="S579" s="17">
        <f t="shared" si="167"/>
        <v>6327.8697959295696</v>
      </c>
      <c r="T579" s="18" t="e">
        <f t="shared" si="172"/>
        <v>#DIV/0!</v>
      </c>
      <c r="U579" s="23" t="e">
        <f t="shared" ref="U579:U589" si="175">IF(I579="USD",M579,M579/$X$6)</f>
        <v>#DIV/0!</v>
      </c>
      <c r="Y579" s="8" t="str">
        <f t="shared" si="173"/>
        <v>PAUH69255H3.0XT</v>
      </c>
      <c r="Z579" s="8" t="str">
        <f>IF(Y579='Input - Bookings'!Q812,"OK","Check")</f>
        <v>Check</v>
      </c>
      <c r="AA579" s="118"/>
      <c r="AB579" s="71"/>
      <c r="AC579" s="71"/>
      <c r="AD579" s="100">
        <v>19335.193921773</v>
      </c>
      <c r="AE579" s="98"/>
      <c r="AF579" s="8" t="str">
        <f t="array" ref="AF579">_xlfn.XLOOKUP($G579,'AP Plants'!D:D,'AP Plants'!B:B)</f>
        <v>Class 5 NOT BT</v>
      </c>
      <c r="AG579" s="102">
        <f>AD579*'Currency &amp; Conversion'!$L$6</f>
        <v>28793.970788304352</v>
      </c>
      <c r="AH579" s="102"/>
      <c r="AI579" s="44">
        <v>1.4999999999999999E-2</v>
      </c>
      <c r="AJ579" s="15">
        <f>_xlfn.XLOOKUP($AF579,Warranty!B:B,Warranty!E:E)</f>
        <v>5.0000000000000001E-3</v>
      </c>
      <c r="AK579" s="8">
        <f>IF($I579="AUD",VLOOKUP(RIGHT('Wk - Margins'!$G579,3),'AU Freight'!C:G,5,0),0)</f>
        <v>2130</v>
      </c>
      <c r="AL579" s="15">
        <f t="shared" ref="AL579:AL589" si="176">IF(AND($I579="AUD",$AF579="Class 5 BT"),5%,0%)</f>
        <v>0</v>
      </c>
      <c r="AM579" s="61">
        <f t="shared" si="174"/>
        <v>31499.850204070433</v>
      </c>
      <c r="AN579" s="63">
        <f t="shared" ref="AN579:AN589" si="177">1-AM579/M579</f>
        <v>0.1672812899093461</v>
      </c>
      <c r="AQ579" s="147"/>
    </row>
    <row r="580" spans="1:43">
      <c r="A580" s="10" t="str">
        <f>'Input - Bookings'!A580</f>
        <v>10-31</v>
      </c>
      <c r="B580" s="11" t="str">
        <f>'Input - Bookings'!C580</f>
        <v>P</v>
      </c>
      <c r="C580" s="11" t="str">
        <f>'Input - Bookings'!H580</f>
        <v>AU</v>
      </c>
      <c r="D580" s="24" t="str">
        <f>'Input - Bookings'!E580</f>
        <v>065</v>
      </c>
      <c r="E580" s="24" t="str">
        <f>'Input - Bookings'!G580</f>
        <v>ADAPT-A-LIFT GROUP (QLD)</v>
      </c>
      <c r="F580" s="24" t="str">
        <f>'Input - Bookings'!I580</f>
        <v>H69256</v>
      </c>
      <c r="G580" s="24" t="str">
        <f>'Input - Bookings'!L580</f>
        <v>D466</v>
      </c>
      <c r="H580" s="24" t="str">
        <f>'Input - Bookings'!M580</f>
        <v>H2.5XT</v>
      </c>
      <c r="I580" s="24" t="str">
        <f>'Input - Bookings'!B580</f>
        <v>AUD</v>
      </c>
      <c r="J580" s="13" t="str">
        <f>IF(I580="USD",INDEX('AP Plants'!A:A,MATCH(G580,'AP Plants'!D:D,0)),INDEX('Australia Plants'!A:A,MATCH(G580,'Australia Plants'!D:D,0)))</f>
        <v>SN</v>
      </c>
      <c r="K580" s="73">
        <v>1</v>
      </c>
      <c r="L580" s="97">
        <v>42770</v>
      </c>
      <c r="M580" s="97">
        <v>33885.58</v>
      </c>
      <c r="N580" s="99">
        <v>0.13663812735101288</v>
      </c>
      <c r="O580" s="25">
        <f t="shared" si="169"/>
        <v>0.20772550853401917</v>
      </c>
      <c r="P580" s="14">
        <f>IFERROR(IF(OR(B580&amp;C580="PAU",B580&amp;C580="AIN"),VLOOKUP(B580&amp;C580&amp;G580,#REF!,8,0),VLOOKUP(B580&amp;G580,#REF!,8,0)),0)</f>
        <v>0</v>
      </c>
      <c r="Q580" s="15">
        <f t="shared" si="170"/>
        <v>0.13663812735101288</v>
      </c>
      <c r="R580" s="16" t="str">
        <f t="shared" si="171"/>
        <v>AOP</v>
      </c>
      <c r="S580" s="17">
        <f t="shared" si="167"/>
        <v>4630.0621954029357</v>
      </c>
      <c r="T580" s="18" t="e">
        <f t="shared" si="172"/>
        <v>#DIV/0!</v>
      </c>
      <c r="U580" s="23" t="e">
        <f t="shared" si="175"/>
        <v>#DIV/0!</v>
      </c>
      <c r="Y580" s="8" t="str">
        <f t="shared" si="173"/>
        <v>PAUH69256H2.5XT</v>
      </c>
      <c r="Z580" s="8" t="str">
        <f>IF(Y580='Input - Bookings'!Q813,"OK","Check")</f>
        <v>Check</v>
      </c>
      <c r="AA580" s="118"/>
      <c r="AB580" s="71"/>
      <c r="AC580" s="71"/>
      <c r="AD580" s="100">
        <v>17857.671841571122</v>
      </c>
      <c r="AE580" s="98"/>
      <c r="AF580" s="8" t="str">
        <f t="array" ref="AF580">_xlfn.XLOOKUP($G580,'AP Plants'!D:D,'AP Plants'!B:B)</f>
        <v>Class 5 NOT BT</v>
      </c>
      <c r="AG580" s="102">
        <f>AD580*'Currency &amp; Conversion'!$L$6</f>
        <v>26593.644906467718</v>
      </c>
      <c r="AH580" s="102"/>
      <c r="AI580" s="44">
        <v>1.4999999999999999E-2</v>
      </c>
      <c r="AJ580" s="15">
        <f>_xlfn.XLOOKUP($AF580,Warranty!B:B,Warranty!E:E)</f>
        <v>5.0000000000000001E-3</v>
      </c>
      <c r="AK580" s="8">
        <f>IF($I580="AUD",VLOOKUP(RIGHT('Wk - Margins'!$G580,3),'AU Freight'!C:G,5,0),0)</f>
        <v>2130</v>
      </c>
      <c r="AL580" s="15">
        <f t="shared" si="176"/>
        <v>0</v>
      </c>
      <c r="AM580" s="61">
        <f t="shared" si="174"/>
        <v>29255.517804597068</v>
      </c>
      <c r="AN580" s="63">
        <f t="shared" si="177"/>
        <v>0.13663812735101288</v>
      </c>
      <c r="AQ580" s="147"/>
    </row>
    <row r="581" spans="1:43">
      <c r="A581" s="10" t="str">
        <f>'Input - Bookings'!A581</f>
        <v>10-31</v>
      </c>
      <c r="B581" s="11" t="str">
        <f>'Input - Bookings'!C581</f>
        <v>P</v>
      </c>
      <c r="C581" s="11" t="str">
        <f>'Input - Bookings'!H581</f>
        <v>AU</v>
      </c>
      <c r="D581" s="24" t="str">
        <f>'Input - Bookings'!E581</f>
        <v>065</v>
      </c>
      <c r="E581" s="24" t="str">
        <f>'Input - Bookings'!G581</f>
        <v>ADAPT-A-LIFT GROUP (QLD)</v>
      </c>
      <c r="F581" s="24" t="str">
        <f>'Input - Bookings'!I581</f>
        <v>H69257</v>
      </c>
      <c r="G581" s="24" t="str">
        <f>'Input - Bookings'!L581</f>
        <v>D466</v>
      </c>
      <c r="H581" s="24" t="str">
        <f>'Input - Bookings'!M581</f>
        <v>H2.5XT</v>
      </c>
      <c r="I581" s="24" t="str">
        <f>'Input - Bookings'!B581</f>
        <v>AUD</v>
      </c>
      <c r="J581" s="13" t="str">
        <f>IF(I581="USD",INDEX('AP Plants'!A:A,MATCH(G581,'AP Plants'!D:D,0)),INDEX('Australia Plants'!A:A,MATCH(G581,'Australia Plants'!D:D,0)))</f>
        <v>SN</v>
      </c>
      <c r="K581" s="73">
        <v>1</v>
      </c>
      <c r="L581" s="97">
        <v>42770</v>
      </c>
      <c r="M581" s="97">
        <v>33885.58</v>
      </c>
      <c r="N581" s="99">
        <v>0.13663812735101288</v>
      </c>
      <c r="O581" s="25">
        <f t="shared" si="169"/>
        <v>0.20772550853401917</v>
      </c>
      <c r="P581" s="14">
        <f>IFERROR(IF(OR(B581&amp;C581="PAU",B581&amp;C581="AIN"),VLOOKUP(B581&amp;C581&amp;G581,#REF!,8,0),VLOOKUP(B581&amp;G581,#REF!,8,0)),0)</f>
        <v>0</v>
      </c>
      <c r="Q581" s="15">
        <f t="shared" si="170"/>
        <v>0.13663812735101288</v>
      </c>
      <c r="R581" s="16" t="str">
        <f t="shared" si="171"/>
        <v>AOP</v>
      </c>
      <c r="S581" s="17">
        <f t="shared" si="167"/>
        <v>4630.0621954029357</v>
      </c>
      <c r="T581" s="18" t="e">
        <f t="shared" si="172"/>
        <v>#DIV/0!</v>
      </c>
      <c r="U581" s="23" t="e">
        <f t="shared" si="175"/>
        <v>#DIV/0!</v>
      </c>
      <c r="Y581" s="8" t="str">
        <f t="shared" si="173"/>
        <v>PAUH69257H2.5XT</v>
      </c>
      <c r="Z581" s="8" t="str">
        <f>IF(Y581='Input - Bookings'!Q814,"OK","Check")</f>
        <v>Check</v>
      </c>
      <c r="AA581" s="118"/>
      <c r="AB581" s="71"/>
      <c r="AC581" s="71"/>
      <c r="AD581" s="100">
        <v>17857.671841571122</v>
      </c>
      <c r="AE581" s="98"/>
      <c r="AF581" s="8" t="str">
        <f t="array" ref="AF581">_xlfn.XLOOKUP($G581,'AP Plants'!D:D,'AP Plants'!B:B)</f>
        <v>Class 5 NOT BT</v>
      </c>
      <c r="AG581" s="102">
        <f>AD581*'Currency &amp; Conversion'!$L$6</f>
        <v>26593.644906467718</v>
      </c>
      <c r="AH581" s="102"/>
      <c r="AI581" s="44">
        <v>1.4999999999999999E-2</v>
      </c>
      <c r="AJ581" s="15">
        <f>_xlfn.XLOOKUP($AF581,Warranty!B:B,Warranty!E:E)</f>
        <v>5.0000000000000001E-3</v>
      </c>
      <c r="AK581" s="8">
        <f>IF($I581="AUD",VLOOKUP(RIGHT('Wk - Margins'!$G581,3),'AU Freight'!C:G,5,0),0)</f>
        <v>2130</v>
      </c>
      <c r="AL581" s="15">
        <f t="shared" si="176"/>
        <v>0</v>
      </c>
      <c r="AM581" s="61">
        <f t="shared" si="174"/>
        <v>29255.517804597068</v>
      </c>
      <c r="AN581" s="63">
        <f t="shared" si="177"/>
        <v>0.13663812735101288</v>
      </c>
      <c r="AQ581" s="147"/>
    </row>
    <row r="582" spans="1:43">
      <c r="A582" s="10" t="str">
        <f>'Input - Bookings'!A582</f>
        <v>10-31</v>
      </c>
      <c r="B582" s="11" t="str">
        <f>'Input - Bookings'!C582</f>
        <v>P</v>
      </c>
      <c r="C582" s="11" t="str">
        <f>'Input - Bookings'!H582</f>
        <v>AU</v>
      </c>
      <c r="D582" s="24" t="str">
        <f>'Input - Bookings'!E582</f>
        <v>065</v>
      </c>
      <c r="E582" s="24" t="str">
        <f>'Input - Bookings'!G582</f>
        <v>ADAPT-A-LIFT GROUP (QLD)</v>
      </c>
      <c r="F582" s="24" t="str">
        <f>'Input - Bookings'!I582</f>
        <v>H69258</v>
      </c>
      <c r="G582" s="24" t="str">
        <f>'Input - Bookings'!L582</f>
        <v>D466</v>
      </c>
      <c r="H582" s="24" t="str">
        <f>'Input - Bookings'!M582</f>
        <v>H3.0XT</v>
      </c>
      <c r="I582" s="24" t="str">
        <f>'Input - Bookings'!B582</f>
        <v>AUD</v>
      </c>
      <c r="J582" s="13" t="str">
        <f>IF(I582="USD",INDEX('AP Plants'!A:A,MATCH(G582,'AP Plants'!D:D,0)),INDEX('Australia Plants'!A:A,MATCH(G582,'Australia Plants'!D:D,0)))</f>
        <v>SN</v>
      </c>
      <c r="K582" s="73">
        <v>1</v>
      </c>
      <c r="L582" s="97">
        <v>46560</v>
      </c>
      <c r="M582" s="97">
        <v>37827.72</v>
      </c>
      <c r="N582" s="99">
        <v>0.1672812899093461</v>
      </c>
      <c r="O582" s="25">
        <f t="shared" si="169"/>
        <v>0.18754896907216489</v>
      </c>
      <c r="P582" s="14">
        <f>IFERROR(IF(OR(B582&amp;C582="PAU",B582&amp;C582="AIN"),VLOOKUP(B582&amp;C582&amp;G582,#REF!,8,0),VLOOKUP(B582&amp;G582,#REF!,8,0)),0)</f>
        <v>0</v>
      </c>
      <c r="Q582" s="15">
        <f t="shared" si="170"/>
        <v>0.1672812899093461</v>
      </c>
      <c r="R582" s="16" t="str">
        <f t="shared" si="171"/>
        <v>AOP</v>
      </c>
      <c r="S582" s="17">
        <f t="shared" si="167"/>
        <v>6327.8697959295696</v>
      </c>
      <c r="T582" s="18" t="e">
        <f t="shared" si="172"/>
        <v>#DIV/0!</v>
      </c>
      <c r="U582" s="23" t="e">
        <f t="shared" si="175"/>
        <v>#DIV/0!</v>
      </c>
      <c r="Y582" s="8" t="str">
        <f t="shared" si="173"/>
        <v>PAUH69258H3.0XT</v>
      </c>
      <c r="Z582" s="8" t="str">
        <f>IF(Y582='Input - Bookings'!Q815,"OK","Check")</f>
        <v>Check</v>
      </c>
      <c r="AA582" s="118"/>
      <c r="AB582" s="71"/>
      <c r="AC582" s="71"/>
      <c r="AD582" s="100">
        <v>19335.193921773</v>
      </c>
      <c r="AE582" s="98"/>
      <c r="AF582" s="8" t="str">
        <f t="array" ref="AF582">_xlfn.XLOOKUP($G582,'AP Plants'!D:D,'AP Plants'!B:B)</f>
        <v>Class 5 NOT BT</v>
      </c>
      <c r="AG582" s="102">
        <f>AD582*'Currency &amp; Conversion'!$L$6</f>
        <v>28793.970788304352</v>
      </c>
      <c r="AH582" s="102"/>
      <c r="AI582" s="44">
        <v>1.4999999999999999E-2</v>
      </c>
      <c r="AJ582" s="15">
        <f>_xlfn.XLOOKUP($AF582,Warranty!B:B,Warranty!E:E)</f>
        <v>5.0000000000000001E-3</v>
      </c>
      <c r="AK582" s="8">
        <f>IF($I582="AUD",VLOOKUP(RIGHT('Wk - Margins'!$G582,3),'AU Freight'!C:G,5,0),0)</f>
        <v>2130</v>
      </c>
      <c r="AL582" s="15">
        <f t="shared" si="176"/>
        <v>0</v>
      </c>
      <c r="AM582" s="61">
        <f t="shared" si="174"/>
        <v>31499.850204070433</v>
      </c>
      <c r="AN582" s="63">
        <f t="shared" si="177"/>
        <v>0.1672812899093461</v>
      </c>
      <c r="AQ582" s="147"/>
    </row>
    <row r="583" spans="1:43">
      <c r="A583" s="10" t="str">
        <f>'Input - Bookings'!A583</f>
        <v>10-31</v>
      </c>
      <c r="B583" s="11" t="str">
        <f>'Input - Bookings'!C583</f>
        <v>P</v>
      </c>
      <c r="C583" s="11" t="str">
        <f>'Input - Bookings'!H583</f>
        <v>AU</v>
      </c>
      <c r="D583" s="24" t="str">
        <f>'Input - Bookings'!E583</f>
        <v>067</v>
      </c>
      <c r="E583" s="24" t="str">
        <f>'Input - Bookings'!G583</f>
        <v>ADAPT-A-LIFT GROUP (QLD)</v>
      </c>
      <c r="F583" s="24" t="str">
        <f>'Input - Bookings'!I583</f>
        <v>H70484</v>
      </c>
      <c r="G583" s="24" t="str">
        <f>'Input - Bookings'!L583</f>
        <v>D849</v>
      </c>
      <c r="H583" s="24" t="str">
        <f>'Input - Bookings'!M583</f>
        <v>MR16</v>
      </c>
      <c r="I583" s="24" t="str">
        <f>'Input - Bookings'!B583</f>
        <v>AUD</v>
      </c>
      <c r="J583" s="13" t="str">
        <f>IF(I583="USD",INDEX('AP Plants'!A:A,MATCH(G583,'AP Plants'!D:D,0)),INDEX('Australia Plants'!A:A,MATCH(G583,'Australia Plants'!D:D,0)))</f>
        <v>Masate</v>
      </c>
      <c r="K583" s="73">
        <v>1</v>
      </c>
      <c r="L583" s="97">
        <v>65270</v>
      </c>
      <c r="M583" s="97">
        <v>42647.3</v>
      </c>
      <c r="N583" s="99">
        <v>0.14425439747028102</v>
      </c>
      <c r="O583" s="25">
        <f t="shared" si="169"/>
        <v>0.34660180787498085</v>
      </c>
      <c r="P583" s="14">
        <f>IFERROR(IF(OR(B583&amp;C583="PAU",B583&amp;C583="AIN"),VLOOKUP(B583&amp;C583&amp;G583,#REF!,8,0),VLOOKUP(B583&amp;G583,#REF!,8,0)),0)</f>
        <v>0</v>
      </c>
      <c r="Q583" s="15">
        <f t="shared" si="170"/>
        <v>0.14425439747028102</v>
      </c>
      <c r="R583" s="16" t="str">
        <f t="shared" si="171"/>
        <v>AOP</v>
      </c>
      <c r="S583" s="17">
        <f t="shared" si="167"/>
        <v>6152.0605652343156</v>
      </c>
      <c r="T583" s="18" t="e">
        <f t="shared" si="172"/>
        <v>#DIV/0!</v>
      </c>
      <c r="U583" s="23" t="e">
        <f t="shared" si="175"/>
        <v>#DIV/0!</v>
      </c>
      <c r="Y583" s="8" t="str">
        <f t="shared" si="173"/>
        <v>PAUH70484MR16</v>
      </c>
      <c r="Z583" s="8" t="str">
        <f>IF(Y583='Input - Bookings'!Q816,"OK","Check")</f>
        <v>Check</v>
      </c>
      <c r="AA583" s="139"/>
      <c r="AB583" s="71">
        <v>0</v>
      </c>
      <c r="AC583" s="71">
        <v>0</v>
      </c>
      <c r="AD583" s="100"/>
      <c r="AE583" s="100">
        <v>19912.939999999999</v>
      </c>
      <c r="AF583" s="8" t="str">
        <f t="array" ref="AF583">_xlfn.XLOOKUP($G583,'AP Plants'!D:D,'AP Plants'!B:B)</f>
        <v>Class 2</v>
      </c>
      <c r="AG583" s="102">
        <f>(AE583*(1+VLOOKUP(J583,'Currency &amp; Conversion'!$F$12:$I$18,2,0))*'Currency &amp; Conversion'!$L$4)+((AB583+AC583)*90%)</f>
        <v>32053.630519189996</v>
      </c>
      <c r="AH583" s="102"/>
      <c r="AI583" s="44">
        <v>1.4999999999999999E-2</v>
      </c>
      <c r="AJ583" s="15">
        <f>_xlfn.XLOOKUP($AF583,Warranty!B:B,Warranty!E:E)</f>
        <v>1.4999999999999999E-2</v>
      </c>
      <c r="AK583" s="8">
        <f>IF($I583="AUD",VLOOKUP(RIGHT('Wk - Margins'!$G583,3),'AU Freight'!C:G,5,0),0)</f>
        <v>3480</v>
      </c>
      <c r="AL583" s="15">
        <f t="shared" si="176"/>
        <v>0</v>
      </c>
      <c r="AM583" s="61">
        <f t="shared" si="174"/>
        <v>36495.239434765688</v>
      </c>
      <c r="AN583" s="63">
        <f t="shared" si="177"/>
        <v>0.14425439747028102</v>
      </c>
      <c r="AQ583" s="147"/>
    </row>
    <row r="584" spans="1:43">
      <c r="A584" s="10" t="str">
        <f>'Input - Bookings'!A584</f>
        <v>10-31</v>
      </c>
      <c r="B584" s="11" t="str">
        <f>'Input - Bookings'!C584</f>
        <v>P</v>
      </c>
      <c r="C584" s="11" t="str">
        <f>'Input - Bookings'!H584</f>
        <v>AU</v>
      </c>
      <c r="D584" s="24" t="str">
        <f>'Input - Bookings'!E584</f>
        <v>067</v>
      </c>
      <c r="E584" s="24" t="str">
        <f>'Input - Bookings'!G584</f>
        <v>ADAPT-A-LIFT GROUP (QLD)</v>
      </c>
      <c r="F584" s="24" t="str">
        <f>'Input - Bookings'!I584</f>
        <v>H70486</v>
      </c>
      <c r="G584" s="24" t="str">
        <f>'Input - Bookings'!L584</f>
        <v>D849</v>
      </c>
      <c r="H584" s="24" t="str">
        <f>'Input - Bookings'!M584</f>
        <v>MR16</v>
      </c>
      <c r="I584" s="24" t="str">
        <f>'Input - Bookings'!B584</f>
        <v>AUD</v>
      </c>
      <c r="J584" s="13" t="str">
        <f>IF(I584="USD",INDEX('AP Plants'!A:A,MATCH(G584,'AP Plants'!D:D,0)),INDEX('Australia Plants'!A:A,MATCH(G584,'Australia Plants'!D:D,0)))</f>
        <v>Masate</v>
      </c>
      <c r="K584" s="73">
        <v>1</v>
      </c>
      <c r="L584" s="97">
        <v>65270</v>
      </c>
      <c r="M584" s="97">
        <v>42647.3</v>
      </c>
      <c r="N584" s="99">
        <v>0.14425439747028102</v>
      </c>
      <c r="O584" s="25">
        <f t="shared" si="169"/>
        <v>0.34660180787498085</v>
      </c>
      <c r="P584" s="14">
        <f>IFERROR(IF(OR(B584&amp;C584="PAU",B584&amp;C584="AIN"),VLOOKUP(B584&amp;C584&amp;G584,#REF!,8,0),VLOOKUP(B584&amp;G584,#REF!,8,0)),0)</f>
        <v>0</v>
      </c>
      <c r="Q584" s="15">
        <f t="shared" si="170"/>
        <v>0.14425439747028102</v>
      </c>
      <c r="R584" s="16" t="str">
        <f t="shared" si="171"/>
        <v>AOP</v>
      </c>
      <c r="S584" s="17">
        <f t="shared" si="167"/>
        <v>6152.0605652343156</v>
      </c>
      <c r="T584" s="18" t="e">
        <f t="shared" si="172"/>
        <v>#DIV/0!</v>
      </c>
      <c r="U584" s="23" t="e">
        <f t="shared" si="175"/>
        <v>#DIV/0!</v>
      </c>
      <c r="Y584" s="8" t="str">
        <f t="shared" si="173"/>
        <v>PAUH70486MR16</v>
      </c>
      <c r="Z584" s="8" t="str">
        <f>IF(Y584='Input - Bookings'!Q817,"OK","Check")</f>
        <v>Check</v>
      </c>
      <c r="AA584" s="139"/>
      <c r="AB584" s="71">
        <v>0</v>
      </c>
      <c r="AC584" s="71">
        <v>0</v>
      </c>
      <c r="AD584" s="100"/>
      <c r="AE584" s="100">
        <v>19912.939999999999</v>
      </c>
      <c r="AF584" s="8" t="str">
        <f t="array" ref="AF584">_xlfn.XLOOKUP($G584,'AP Plants'!D:D,'AP Plants'!B:B)</f>
        <v>Class 2</v>
      </c>
      <c r="AG584" s="102">
        <f>(AE584*(1+VLOOKUP(J584,'Currency &amp; Conversion'!$F$12:$I$18,2,0))*'Currency &amp; Conversion'!$L$4)+((AB584+AC584)*90%)</f>
        <v>32053.630519189996</v>
      </c>
      <c r="AH584" s="102"/>
      <c r="AI584" s="44">
        <v>1.4999999999999999E-2</v>
      </c>
      <c r="AJ584" s="15">
        <f>_xlfn.XLOOKUP($AF584,Warranty!B:B,Warranty!E:E)</f>
        <v>1.4999999999999999E-2</v>
      </c>
      <c r="AK584" s="8">
        <f>IF($I584="AUD",VLOOKUP(RIGHT('Wk - Margins'!$G584,3),'AU Freight'!C:G,5,0),0)</f>
        <v>3480</v>
      </c>
      <c r="AL584" s="15">
        <f t="shared" si="176"/>
        <v>0</v>
      </c>
      <c r="AM584" s="61">
        <f t="shared" si="174"/>
        <v>36495.239434765688</v>
      </c>
      <c r="AN584" s="63">
        <f t="shared" si="177"/>
        <v>0.14425439747028102</v>
      </c>
      <c r="AQ584" s="147"/>
    </row>
    <row r="585" spans="1:43">
      <c r="A585" s="10" t="str">
        <f>'Input - Bookings'!A585</f>
        <v>10-31</v>
      </c>
      <c r="B585" s="11" t="str">
        <f>'Input - Bookings'!C585</f>
        <v>P</v>
      </c>
      <c r="C585" s="11" t="str">
        <f>'Input - Bookings'!H585</f>
        <v>AU</v>
      </c>
      <c r="D585" s="24" t="str">
        <f>'Input - Bookings'!E585</f>
        <v>065</v>
      </c>
      <c r="E585" s="24" t="str">
        <f>'Input - Bookings'!G585</f>
        <v>ADAPT-A-LIFT GROUP (WA)</v>
      </c>
      <c r="F585" s="24" t="str">
        <f>'Input - Bookings'!I585</f>
        <v>H70539</v>
      </c>
      <c r="G585" s="24" t="str">
        <f>'Input - Bookings'!L585</f>
        <v>D466</v>
      </c>
      <c r="H585" s="24" t="str">
        <f>'Input - Bookings'!M585</f>
        <v>H2.5XT</v>
      </c>
      <c r="I585" s="24" t="str">
        <f>'Input - Bookings'!B585</f>
        <v>AUD</v>
      </c>
      <c r="J585" s="13" t="str">
        <f>IF(I585="USD",INDEX('AP Plants'!A:A,MATCH(G585,'AP Plants'!D:D,0)),INDEX('Australia Plants'!A:A,MATCH(G585,'Australia Plants'!D:D,0)))</f>
        <v>SN</v>
      </c>
      <c r="K585" s="73">
        <v>1</v>
      </c>
      <c r="L585" s="97">
        <v>43130</v>
      </c>
      <c r="M585" s="97">
        <v>33354.99</v>
      </c>
      <c r="N585" s="99">
        <v>0.13616982826826851</v>
      </c>
      <c r="O585" s="25">
        <f t="shared" si="169"/>
        <v>0.22664062137723162</v>
      </c>
      <c r="P585" s="14">
        <f>IFERROR(IF(OR(B585&amp;C585="PAU",B585&amp;C585="AIN"),VLOOKUP(B585&amp;C585&amp;G585,#REF!,8,0),VLOOKUP(B585&amp;G585,#REF!,8,0)),0)</f>
        <v>0</v>
      </c>
      <c r="Q585" s="15">
        <f t="shared" si="170"/>
        <v>0.13616982826826851</v>
      </c>
      <c r="R585" s="16" t="str">
        <f t="shared" si="171"/>
        <v>AOP</v>
      </c>
      <c r="S585" s="17">
        <f t="shared" ref="S585:S589" si="178">K585*M585*(N585-P585)</f>
        <v>4541.9432601898134</v>
      </c>
      <c r="T585" s="18" t="e">
        <f t="shared" si="172"/>
        <v>#DIV/0!</v>
      </c>
      <c r="U585" s="23" t="e">
        <f t="shared" si="175"/>
        <v>#DIV/0!</v>
      </c>
      <c r="Y585" s="8" t="str">
        <f t="shared" si="173"/>
        <v>PAUH70539H2.5XT</v>
      </c>
      <c r="Z585" s="8" t="str">
        <f>IF(Y585='Input - Bookings'!Q818,"OK","Check")</f>
        <v>Check</v>
      </c>
      <c r="AA585" s="118"/>
      <c r="AB585" s="71"/>
      <c r="AC585" s="71"/>
      <c r="AD585" s="100">
        <v>17566.377749739426</v>
      </c>
      <c r="AE585" s="98"/>
      <c r="AF585" s="8" t="str">
        <f t="array" ref="AF585">_xlfn.XLOOKUP($G585,'AP Plants'!D:D,'AP Plants'!B:B)</f>
        <v>Class 5 NOT BT</v>
      </c>
      <c r="AG585" s="102">
        <f>AD585*'Currency &amp; Conversion'!$L$6</f>
        <v>26159.849744911953</v>
      </c>
      <c r="AH585" s="102"/>
      <c r="AI585" s="44">
        <v>1.4999999999999999E-2</v>
      </c>
      <c r="AJ585" s="15">
        <f>_xlfn.XLOOKUP($AF585,Warranty!B:B,Warranty!E:E)</f>
        <v>5.0000000000000001E-3</v>
      </c>
      <c r="AK585" s="8">
        <f>IF($I585="AUD",VLOOKUP(RIGHT('Wk - Margins'!$G585,3),'AU Freight'!C:G,5,0),0)</f>
        <v>2130</v>
      </c>
      <c r="AL585" s="15">
        <f t="shared" si="176"/>
        <v>0</v>
      </c>
      <c r="AM585" s="61">
        <f t="shared" si="174"/>
        <v>28813.046739810186</v>
      </c>
      <c r="AN585" s="63">
        <f t="shared" si="177"/>
        <v>0.13616982826826851</v>
      </c>
      <c r="AQ585" s="147"/>
    </row>
    <row r="586" spans="1:43">
      <c r="A586" s="10" t="str">
        <f>'Input - Bookings'!A586</f>
        <v>10-31</v>
      </c>
      <c r="B586" s="11" t="str">
        <f>'Input - Bookings'!C586</f>
        <v>P</v>
      </c>
      <c r="C586" s="11" t="str">
        <f>'Input - Bookings'!H586</f>
        <v>NZ</v>
      </c>
      <c r="D586" s="24" t="str">
        <f>'Input - Bookings'!E586</f>
        <v>065</v>
      </c>
      <c r="E586" s="24" t="str">
        <f>'Input - Bookings'!G586</f>
        <v>SIME DARBY TRANSPORT (NZ)</v>
      </c>
      <c r="F586" s="24" t="str">
        <f>'Input - Bookings'!I586</f>
        <v>H70778</v>
      </c>
      <c r="G586" s="24" t="str">
        <f>'Input - Bookings'!L586</f>
        <v>U005</v>
      </c>
      <c r="H586" s="24" t="str">
        <f>'Input - Bookings'!M586</f>
        <v>H5.5FT</v>
      </c>
      <c r="I586" s="24" t="str">
        <f>'Input - Bookings'!B586</f>
        <v>USD</v>
      </c>
      <c r="J586" s="13" t="str">
        <f>IF(I586="USD",INDEX('AP Plants'!A:A,MATCH(G586,'AP Plants'!D:D,0)),INDEX('Australia Plants'!A:A,MATCH(G586,'Australia Plants'!D:D,0)))</f>
        <v>Craigavon</v>
      </c>
      <c r="K586" s="73">
        <v>1</v>
      </c>
      <c r="L586" s="97">
        <v>80815</v>
      </c>
      <c r="M586" s="97">
        <v>60625.24</v>
      </c>
      <c r="N586" s="99">
        <v>9.2073168175708098E-3</v>
      </c>
      <c r="O586" s="25">
        <f t="shared" si="169"/>
        <v>0.24982688857266599</v>
      </c>
      <c r="P586" s="14">
        <f>IFERROR(IF(OR(B586&amp;C586="PAU",B586&amp;C586="AIN"),VLOOKUP(B586&amp;C586&amp;G586,#REF!,8,0),VLOOKUP(B586&amp;G586,#REF!,8,0)),0)</f>
        <v>0</v>
      </c>
      <c r="Q586" s="15">
        <f t="shared" si="170"/>
        <v>9.2073168175708098E-3</v>
      </c>
      <c r="R586" s="16" t="str">
        <f t="shared" si="171"/>
        <v>AOP</v>
      </c>
      <c r="S586" s="17">
        <f t="shared" si="178"/>
        <v>558.19579182126654</v>
      </c>
      <c r="T586" s="18">
        <f t="shared" si="172"/>
        <v>558.19579182126654</v>
      </c>
      <c r="U586" s="23">
        <f t="shared" si="175"/>
        <v>60625.24</v>
      </c>
      <c r="Y586" s="8" t="str">
        <f t="shared" si="173"/>
        <v>PNZH70778H5.5FT</v>
      </c>
      <c r="Z586" s="8" t="str">
        <f>IF(Y586='Input - Bookings'!Q819,"OK","Check")</f>
        <v>Check</v>
      </c>
      <c r="AA586" s="139"/>
      <c r="AB586" s="71">
        <v>21549.5</v>
      </c>
      <c r="AC586" s="71">
        <v>90</v>
      </c>
      <c r="AD586" s="100"/>
      <c r="AE586" s="100">
        <v>36347.99</v>
      </c>
      <c r="AF586" s="8" t="str">
        <f t="array" ref="AF586">_xlfn.XLOOKUP($G586,'AP Plants'!D:D,'AP Plants'!B:B)</f>
        <v>Class 5 NOT BT</v>
      </c>
      <c r="AG586" s="102"/>
      <c r="AH586" s="102">
        <f>(AE586*(1+VLOOKUP(J586,'Currency &amp; Conversion'!$F$12:$I$18,2,0))*'Currency &amp; Conversion'!$L$3)+((AB586+AC586)*90%)</f>
        <v>58801.836143816006</v>
      </c>
      <c r="AI586" s="44">
        <v>1.4999999999999999E-2</v>
      </c>
      <c r="AJ586" s="15">
        <f>_xlfn.XLOOKUP($AF586,Warranty!B:B,Warranty!E:E)</f>
        <v>5.0000000000000001E-3</v>
      </c>
      <c r="AK586" s="8">
        <f>IF($I586="AUD",VLOOKUP(RIGHT('Wk - Margins'!$G586,3),'AU Freight'!C:G,5,0),0)</f>
        <v>0</v>
      </c>
      <c r="AL586" s="15">
        <f t="shared" si="176"/>
        <v>0</v>
      </c>
      <c r="AM586" s="61">
        <f t="shared" si="174"/>
        <v>59977.872866692313</v>
      </c>
      <c r="AN586" s="63">
        <f t="shared" si="177"/>
        <v>1.0678178483214062E-2</v>
      </c>
      <c r="AQ586" s="147"/>
    </row>
    <row r="587" spans="1:43" ht="12.75" customHeight="1">
      <c r="A587" s="10" t="str">
        <f>'Input - Bookings'!A587</f>
        <v>10-31</v>
      </c>
      <c r="B587" s="11" t="str">
        <f>'Input - Bookings'!C587</f>
        <v>P</v>
      </c>
      <c r="C587" s="11" t="str">
        <f>'Input - Bookings'!H587</f>
        <v>NZ</v>
      </c>
      <c r="D587" s="24" t="str">
        <f>'Input - Bookings'!E587</f>
        <v>065</v>
      </c>
      <c r="E587" s="24" t="str">
        <f>'Input - Bookings'!G587</f>
        <v>SIME DARBY TRANSPORT (NZ)</v>
      </c>
      <c r="F587" s="24" t="str">
        <f>'Input - Bookings'!I587</f>
        <v>H70779</v>
      </c>
      <c r="G587" s="24" t="str">
        <f>'Input - Bookings'!L587</f>
        <v>D466</v>
      </c>
      <c r="H587" s="24" t="str">
        <f>'Input - Bookings'!M587</f>
        <v>H3.5XT</v>
      </c>
      <c r="I587" s="24" t="str">
        <f>'Input - Bookings'!B587</f>
        <v>USD</v>
      </c>
      <c r="J587" s="13" t="str">
        <f>IF(I587="USD",INDEX('AP Plants'!A:A,MATCH(G587,'AP Plants'!D:D,0)),INDEX('Australia Plants'!A:A,MATCH(G587,'Australia Plants'!D:D,0)))</f>
        <v>SN</v>
      </c>
      <c r="K587" s="73">
        <v>1</v>
      </c>
      <c r="L587" s="97">
        <v>45725</v>
      </c>
      <c r="M587" s="97">
        <v>32241.06</v>
      </c>
      <c r="N587" s="99">
        <v>0.17784772480753552</v>
      </c>
      <c r="O587" s="25">
        <f t="shared" si="169"/>
        <v>0.294892072170585</v>
      </c>
      <c r="P587" s="14">
        <f>IFERROR(IF(OR(B587&amp;C587="PAU",B587&amp;C587="AIN"),VLOOKUP(B587&amp;C587&amp;G587,#REF!,8,0),VLOOKUP(B587&amp;G587,#REF!,8,0)),0)</f>
        <v>0</v>
      </c>
      <c r="Q587" s="15">
        <f t="shared" si="170"/>
        <v>0.17784772480753552</v>
      </c>
      <c r="R587" s="16" t="str">
        <f t="shared" si="171"/>
        <v>AOP</v>
      </c>
      <c r="S587" s="17">
        <f t="shared" si="178"/>
        <v>5733.9991663832416</v>
      </c>
      <c r="T587" s="18">
        <f t="shared" si="172"/>
        <v>5733.9991663832416</v>
      </c>
      <c r="U587" s="23">
        <f t="shared" si="175"/>
        <v>32241.06</v>
      </c>
      <c r="Y587" s="8" t="str">
        <f t="shared" si="173"/>
        <v>PNZH70779H3.5XT</v>
      </c>
      <c r="Z587" s="8" t="str">
        <f>IF(Y587='Input - Bookings'!Q820,"OK","Check")</f>
        <v>Check</v>
      </c>
      <c r="AA587" s="139" t="s">
        <v>1957</v>
      </c>
      <c r="AB587" s="71"/>
      <c r="AC587" s="71"/>
      <c r="AD587" s="100">
        <v>25987.314542761535</v>
      </c>
      <c r="AE587" s="98">
        <v>37193.89</v>
      </c>
      <c r="AF587" s="8" t="str">
        <f t="array" ref="AF587">_xlfn.XLOOKUP($G587,'AP Plants'!D:D,'AP Plants'!B:B)</f>
        <v>Class 5 NOT BT</v>
      </c>
      <c r="AG587" s="102"/>
      <c r="AH587" s="102">
        <f t="shared" ref="AH587:AH589" si="179">AD587</f>
        <v>25987.314542761535</v>
      </c>
      <c r="AI587" s="44">
        <v>1.4999999999999999E-2</v>
      </c>
      <c r="AJ587" s="15">
        <f>_xlfn.XLOOKUP($AF587,Warranty!B:B,Warranty!E:E)</f>
        <v>5.0000000000000001E-3</v>
      </c>
      <c r="AK587" s="8">
        <f>IF($I587="AUD",VLOOKUP(RIGHT('Wk - Margins'!$G587,3),'AU Freight'!C:G,5,0),0)</f>
        <v>0</v>
      </c>
      <c r="AL587" s="15">
        <f t="shared" si="176"/>
        <v>0</v>
      </c>
      <c r="AM587" s="61">
        <f t="shared" si="174"/>
        <v>26507.060833616761</v>
      </c>
      <c r="AN587" s="63">
        <f t="shared" si="177"/>
        <v>0.17784772480753552</v>
      </c>
      <c r="AQ587" s="147"/>
    </row>
    <row r="588" spans="1:43">
      <c r="A588" s="10" t="str">
        <f>'Input - Bookings'!A588</f>
        <v>10-31</v>
      </c>
      <c r="B588" s="11" t="str">
        <f>'Input - Bookings'!C588</f>
        <v>P</v>
      </c>
      <c r="C588" s="11" t="str">
        <f>'Input - Bookings'!H588</f>
        <v>NZ</v>
      </c>
      <c r="D588" s="24" t="str">
        <f>'Input - Bookings'!E588</f>
        <v>065</v>
      </c>
      <c r="E588" s="24" t="str">
        <f>'Input - Bookings'!G588</f>
        <v>SIME DARBY TRANSPORT (NZ)</v>
      </c>
      <c r="F588" s="24" t="str">
        <f>'Input - Bookings'!I588</f>
        <v>H70781</v>
      </c>
      <c r="G588" s="24" t="str">
        <f>'Input - Bookings'!L588</f>
        <v>D466</v>
      </c>
      <c r="H588" s="24" t="str">
        <f>'Input - Bookings'!M588</f>
        <v>H3.5XT</v>
      </c>
      <c r="I588" s="24" t="str">
        <f>'Input - Bookings'!B588</f>
        <v>USD</v>
      </c>
      <c r="J588" s="13" t="str">
        <f>IF(I588="USD",INDEX('AP Plants'!A:A,MATCH(G588,'AP Plants'!D:D,0)),INDEX('Australia Plants'!A:A,MATCH(G588,'Australia Plants'!D:D,0)))</f>
        <v>SN</v>
      </c>
      <c r="K588" s="73">
        <v>1</v>
      </c>
      <c r="L588" s="97">
        <v>45725</v>
      </c>
      <c r="M588" s="97">
        <v>32241.06</v>
      </c>
      <c r="N588" s="99">
        <v>0.17784772480753552</v>
      </c>
      <c r="O588" s="25">
        <f t="shared" si="169"/>
        <v>0.294892072170585</v>
      </c>
      <c r="P588" s="14">
        <f>IFERROR(IF(OR(B588&amp;C588="PAU",B588&amp;C588="AIN"),VLOOKUP(B588&amp;C588&amp;G588,#REF!,8,0),VLOOKUP(B588&amp;G588,#REF!,8,0)),0)</f>
        <v>0</v>
      </c>
      <c r="Q588" s="15">
        <f t="shared" si="170"/>
        <v>0.17784772480753552</v>
      </c>
      <c r="R588" s="16" t="str">
        <f t="shared" si="171"/>
        <v>AOP</v>
      </c>
      <c r="S588" s="17">
        <f t="shared" si="178"/>
        <v>5733.9991663832416</v>
      </c>
      <c r="T588" s="18">
        <f t="shared" si="172"/>
        <v>5733.9991663832416</v>
      </c>
      <c r="U588" s="23">
        <f t="shared" si="175"/>
        <v>32241.06</v>
      </c>
      <c r="Y588" s="8" t="str">
        <f t="shared" si="173"/>
        <v>PNZH70781H3.5XT</v>
      </c>
      <c r="Z588" s="8" t="str">
        <f>IF(Y588='Input - Bookings'!Q821,"OK","Check")</f>
        <v>Check</v>
      </c>
      <c r="AA588" s="139" t="s">
        <v>1957</v>
      </c>
      <c r="AB588" s="71"/>
      <c r="AC588" s="71"/>
      <c r="AD588" s="100">
        <v>25987.314542761535</v>
      </c>
      <c r="AE588" s="98"/>
      <c r="AF588" s="8" t="str">
        <f t="array" ref="AF588">_xlfn.XLOOKUP($G588,'AP Plants'!D:D,'AP Plants'!B:B)</f>
        <v>Class 5 NOT BT</v>
      </c>
      <c r="AG588" s="102"/>
      <c r="AH588" s="102">
        <f t="shared" si="179"/>
        <v>25987.314542761535</v>
      </c>
      <c r="AI588" s="44">
        <v>1.4999999999999999E-2</v>
      </c>
      <c r="AJ588" s="15">
        <f>_xlfn.XLOOKUP($AF588,Warranty!B:B,Warranty!E:E)</f>
        <v>5.0000000000000001E-3</v>
      </c>
      <c r="AK588" s="8">
        <f>IF($I588="AUD",VLOOKUP(RIGHT('Wk - Margins'!$G588,3),'AU Freight'!C:G,5,0),0)</f>
        <v>0</v>
      </c>
      <c r="AL588" s="15">
        <f t="shared" si="176"/>
        <v>0</v>
      </c>
      <c r="AM588" s="61">
        <f t="shared" si="174"/>
        <v>26507.060833616761</v>
      </c>
      <c r="AN588" s="63">
        <f t="shared" si="177"/>
        <v>0.17784772480753552</v>
      </c>
      <c r="AQ588" s="147"/>
    </row>
    <row r="589" spans="1:43">
      <c r="A589" s="10" t="str">
        <f>'Input - Bookings'!A589</f>
        <v>10-31</v>
      </c>
      <c r="B589" s="11" t="str">
        <f>'Input - Bookings'!C589</f>
        <v>P</v>
      </c>
      <c r="C589" s="11" t="str">
        <f>'Input - Bookings'!H589</f>
        <v>NZ</v>
      </c>
      <c r="D589" s="24" t="str">
        <f>'Input - Bookings'!E589</f>
        <v>065</v>
      </c>
      <c r="E589" s="24" t="str">
        <f>'Input - Bookings'!G589</f>
        <v>SIME DARBY TRANSPORT (NZ)</v>
      </c>
      <c r="F589" s="24" t="str">
        <f>'Input - Bookings'!I589</f>
        <v>H70780</v>
      </c>
      <c r="G589" s="24" t="str">
        <f>'Input - Bookings'!L589</f>
        <v>D466</v>
      </c>
      <c r="H589" s="24" t="str">
        <f>'Input - Bookings'!M589</f>
        <v>H3.5XT</v>
      </c>
      <c r="I589" s="24" t="str">
        <f>'Input - Bookings'!B589</f>
        <v>USD</v>
      </c>
      <c r="J589" s="13" t="str">
        <f>IF(I589="USD",INDEX('AP Plants'!A:A,MATCH(G589,'AP Plants'!D:D,0)),INDEX('Australia Plants'!A:A,MATCH(G589,'Australia Plants'!D:D,0)))</f>
        <v>SN</v>
      </c>
      <c r="K589" s="73">
        <v>1</v>
      </c>
      <c r="L589" s="97">
        <v>45725</v>
      </c>
      <c r="M589" s="97">
        <v>32241.06</v>
      </c>
      <c r="N589" s="99">
        <v>0.17784772480753552</v>
      </c>
      <c r="O589" s="25">
        <f t="shared" si="169"/>
        <v>0.294892072170585</v>
      </c>
      <c r="P589" s="14">
        <f>IFERROR(IF(OR(B589&amp;C589="PAU",B589&amp;C589="AIN"),VLOOKUP(B589&amp;C589&amp;G589,#REF!,8,0),VLOOKUP(B589&amp;G589,#REF!,8,0)),0)</f>
        <v>0</v>
      </c>
      <c r="Q589" s="15">
        <f t="shared" si="170"/>
        <v>0.17784772480753552</v>
      </c>
      <c r="R589" s="16" t="str">
        <f t="shared" si="171"/>
        <v>AOP</v>
      </c>
      <c r="S589" s="17">
        <f t="shared" si="178"/>
        <v>5733.9991663832416</v>
      </c>
      <c r="T589" s="18">
        <f t="shared" si="172"/>
        <v>5733.9991663832416</v>
      </c>
      <c r="U589" s="23">
        <f t="shared" si="175"/>
        <v>32241.06</v>
      </c>
      <c r="Y589" s="8" t="str">
        <f t="shared" si="173"/>
        <v>PNZH70780H3.5XT</v>
      </c>
      <c r="Z589" s="8" t="str">
        <f>IF(Y589='Input - Bookings'!Q822,"OK","Check")</f>
        <v>Check</v>
      </c>
      <c r="AA589" s="139" t="s">
        <v>1957</v>
      </c>
      <c r="AB589" s="71"/>
      <c r="AC589" s="71"/>
      <c r="AD589" s="100">
        <v>25987.314542761535</v>
      </c>
      <c r="AE589" s="98"/>
      <c r="AF589" s="8" t="str">
        <f t="array" ref="AF589">_xlfn.XLOOKUP($G589,'AP Plants'!D:D,'AP Plants'!B:B)</f>
        <v>Class 5 NOT BT</v>
      </c>
      <c r="AG589" s="102"/>
      <c r="AH589" s="102">
        <f t="shared" si="179"/>
        <v>25987.314542761535</v>
      </c>
      <c r="AI589" s="44">
        <v>1.4999999999999999E-2</v>
      </c>
      <c r="AJ589" s="15">
        <f>_xlfn.XLOOKUP($AF589,Warranty!B:B,Warranty!E:E)</f>
        <v>5.0000000000000001E-3</v>
      </c>
      <c r="AK589" s="8">
        <f>IF($I589="AUD",VLOOKUP(RIGHT('Wk - Margins'!$G589,3),'AU Freight'!C:G,5,0),0)</f>
        <v>0</v>
      </c>
      <c r="AL589" s="15">
        <f t="shared" si="176"/>
        <v>0</v>
      </c>
      <c r="AM589" s="61">
        <f t="shared" si="174"/>
        <v>26507.060833616761</v>
      </c>
      <c r="AN589" s="63">
        <f t="shared" si="177"/>
        <v>0.17784772480753552</v>
      </c>
      <c r="AQ589" s="147"/>
    </row>
    <row r="590" spans="1:43">
      <c r="I590" s="24"/>
      <c r="L590" s="97"/>
    </row>
    <row r="592" spans="1:43">
      <c r="L592" s="120"/>
    </row>
    <row r="594" spans="12:31">
      <c r="L594" s="121"/>
    </row>
    <row r="596" spans="12:31">
      <c r="M596" s="22" t="s">
        <v>653</v>
      </c>
      <c r="AE596" s="72"/>
    </row>
  </sheetData>
  <autoFilter ref="A2:AQ589" xr:uid="{2437A1C8-6798-47C7-BC7E-9149BC36FC7C}"/>
  <mergeCells count="4">
    <mergeCell ref="A1:J1"/>
    <mergeCell ref="K1:M1"/>
    <mergeCell ref="N1:O1"/>
    <mergeCell ref="AD1:AE1"/>
  </mergeCells>
  <phoneticPr fontId="36" type="noConversion"/>
  <conditionalFormatting sqref="I3:I590">
    <cfRule type="cellIs" dxfId="0" priority="3" operator="equal">
      <formula>"AUD"</formula>
    </cfRule>
  </conditionalFormatting>
  <printOptions horizontalCentered="1"/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0AA7-088B-45BE-A374-FF2A34F7FCC2}">
  <sheetPr codeName="Sheet2">
    <tabColor rgb="FF002060"/>
  </sheetPr>
  <dimension ref="A1:AD1612"/>
  <sheetViews>
    <sheetView topLeftCell="A2" zoomScale="90" zoomScaleNormal="90" workbookViewId="0">
      <pane ySplit="1" topLeftCell="A3" activePane="bottomLeft" state="frozen"/>
      <selection activeCell="N48" sqref="N48"/>
      <selection pane="bottomLeft" activeCell="A3" sqref="A3"/>
    </sheetView>
  </sheetViews>
  <sheetFormatPr defaultColWidth="9.140625" defaultRowHeight="15"/>
  <cols>
    <col min="1" max="1" width="12.5703125" style="32" bestFit="1" customWidth="1"/>
    <col min="2" max="2" width="10.28515625" style="32" bestFit="1" customWidth="1"/>
    <col min="3" max="3" width="10.28515625" style="92" bestFit="1" customWidth="1"/>
    <col min="4" max="4" width="8.85546875" style="4" bestFit="1" customWidth="1"/>
    <col min="5" max="5" width="8.7109375" style="4" bestFit="1" customWidth="1"/>
    <col min="6" max="6" width="9.5703125" style="4" bestFit="1" customWidth="1"/>
    <col min="7" max="7" width="27.42578125" style="4" bestFit="1" customWidth="1"/>
    <col min="8" max="8" width="12.7109375" style="4" bestFit="1" customWidth="1"/>
    <col min="9" max="9" width="9.85546875" style="4" bestFit="1" customWidth="1"/>
    <col min="10" max="10" width="11.28515625" style="4" bestFit="1" customWidth="1"/>
    <col min="11" max="11" width="22.5703125" style="4" bestFit="1" customWidth="1"/>
    <col min="12" max="12" width="6.7109375" style="4" bestFit="1" customWidth="1"/>
    <col min="13" max="13" width="14.28515625" style="4" bestFit="1" customWidth="1"/>
    <col min="14" max="14" width="13" style="4" bestFit="1" customWidth="1"/>
    <col min="15" max="15" width="14.42578125" style="91" bestFit="1" customWidth="1"/>
    <col min="16" max="16" width="13.85546875" style="90" bestFit="1" customWidth="1"/>
    <col min="17" max="17" width="11.85546875" style="32" customWidth="1"/>
    <col min="18" max="16384" width="9.140625" style="32"/>
  </cols>
  <sheetData>
    <row r="1" spans="1:28" ht="15.75" thickBot="1">
      <c r="A1" s="158" t="s">
        <v>157</v>
      </c>
      <c r="B1" s="160"/>
      <c r="C1" s="158" t="s">
        <v>154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spans="1:28" s="6" customFormat="1">
      <c r="A2" s="7" t="s">
        <v>151</v>
      </c>
      <c r="B2" s="7" t="s">
        <v>156</v>
      </c>
      <c r="C2" s="93" t="s">
        <v>128</v>
      </c>
      <c r="D2" s="94" t="s">
        <v>129</v>
      </c>
      <c r="E2" s="94" t="s">
        <v>130</v>
      </c>
      <c r="F2" s="94" t="s">
        <v>131</v>
      </c>
      <c r="G2" s="94" t="s">
        <v>132</v>
      </c>
      <c r="H2" s="94" t="s">
        <v>133</v>
      </c>
      <c r="I2" s="94" t="s">
        <v>134</v>
      </c>
      <c r="J2" s="94" t="s">
        <v>135</v>
      </c>
      <c r="K2" s="94" t="s">
        <v>136</v>
      </c>
      <c r="L2" s="94" t="s">
        <v>137</v>
      </c>
      <c r="M2" s="94" t="s">
        <v>138</v>
      </c>
      <c r="N2" s="94" t="s">
        <v>139</v>
      </c>
      <c r="O2" s="95" t="s">
        <v>140</v>
      </c>
      <c r="P2" s="5"/>
    </row>
    <row r="3" spans="1:28">
      <c r="A3" t="str">
        <f t="shared" ref="A3:A19" si="0">MID(D3,(LEN(D3)-3),2)&amp;"-"&amp;MID(D3,(LEN(D3)-1),2)</f>
        <v>10-02</v>
      </c>
      <c r="B3" t="str">
        <f t="shared" ref="B3" si="1">IF(H3="AU","AUD","USD")</f>
        <v>USD</v>
      </c>
      <c r="C3" s="138" t="s">
        <v>656</v>
      </c>
      <c r="D3" s="138">
        <v>1231002</v>
      </c>
      <c r="E3" s="138" t="s">
        <v>657</v>
      </c>
      <c r="F3" s="138" t="s">
        <v>658</v>
      </c>
      <c r="G3" s="138" t="s">
        <v>659</v>
      </c>
      <c r="H3" s="138" t="s">
        <v>660</v>
      </c>
      <c r="I3" s="138" t="s">
        <v>661</v>
      </c>
      <c r="J3" s="138" t="s">
        <v>662</v>
      </c>
      <c r="K3" s="138" t="s">
        <v>663</v>
      </c>
      <c r="L3" s="138" t="s">
        <v>95</v>
      </c>
      <c r="M3" s="138" t="s">
        <v>664</v>
      </c>
      <c r="N3" s="138" t="s">
        <v>654</v>
      </c>
      <c r="O3" s="138" t="s">
        <v>665</v>
      </c>
      <c r="P3" s="97"/>
      <c r="Q3"/>
      <c r="R3" s="3"/>
      <c r="S3" s="111"/>
      <c r="T3" s="111"/>
    </row>
    <row r="4" spans="1:28">
      <c r="A4" t="str">
        <f t="shared" si="0"/>
        <v>10-02</v>
      </c>
      <c r="B4" t="str">
        <f t="shared" ref="B4:B19" si="2">IF(H4="AU","AUD","USD")</f>
        <v>USD</v>
      </c>
      <c r="C4" s="138" t="s">
        <v>656</v>
      </c>
      <c r="D4" s="138">
        <v>1231002</v>
      </c>
      <c r="E4" s="138" t="s">
        <v>657</v>
      </c>
      <c r="F4" s="138" t="s">
        <v>658</v>
      </c>
      <c r="G4" s="138" t="s">
        <v>659</v>
      </c>
      <c r="H4" s="138" t="s">
        <v>660</v>
      </c>
      <c r="I4" s="138" t="s">
        <v>666</v>
      </c>
      <c r="J4" s="138" t="s">
        <v>662</v>
      </c>
      <c r="K4" s="138" t="s">
        <v>667</v>
      </c>
      <c r="L4" s="138" t="s">
        <v>95</v>
      </c>
      <c r="M4" s="138" t="s">
        <v>664</v>
      </c>
      <c r="N4" s="138" t="s">
        <v>654</v>
      </c>
      <c r="O4" s="138" t="s">
        <v>665</v>
      </c>
      <c r="P4" s="97"/>
      <c r="Q4"/>
      <c r="R4" s="3"/>
      <c r="S4" s="111"/>
      <c r="T4" s="111"/>
    </row>
    <row r="5" spans="1:28">
      <c r="A5" t="str">
        <f t="shared" si="0"/>
        <v>10-02</v>
      </c>
      <c r="B5" t="str">
        <f t="shared" si="2"/>
        <v>USD</v>
      </c>
      <c r="C5" s="138" t="s">
        <v>656</v>
      </c>
      <c r="D5" s="138">
        <v>1231002</v>
      </c>
      <c r="E5" s="138" t="s">
        <v>657</v>
      </c>
      <c r="F5" s="138" t="s">
        <v>658</v>
      </c>
      <c r="G5" s="138" t="s">
        <v>659</v>
      </c>
      <c r="H5" s="138" t="s">
        <v>660</v>
      </c>
      <c r="I5" s="138" t="s">
        <v>668</v>
      </c>
      <c r="J5" s="138" t="s">
        <v>662</v>
      </c>
      <c r="K5" s="138" t="s">
        <v>669</v>
      </c>
      <c r="L5" s="138" t="s">
        <v>95</v>
      </c>
      <c r="M5" s="138" t="s">
        <v>664</v>
      </c>
      <c r="N5" s="138" t="s">
        <v>654</v>
      </c>
      <c r="O5" s="138" t="s">
        <v>665</v>
      </c>
      <c r="P5" s="97"/>
      <c r="Q5"/>
      <c r="R5" s="3"/>
      <c r="S5" s="111"/>
      <c r="T5" s="111"/>
    </row>
    <row r="6" spans="1:28">
      <c r="A6" t="str">
        <f t="shared" si="0"/>
        <v>10-02</v>
      </c>
      <c r="B6" t="str">
        <f t="shared" si="2"/>
        <v>USD</v>
      </c>
      <c r="C6" s="138" t="s">
        <v>656</v>
      </c>
      <c r="D6" s="138">
        <v>1231002</v>
      </c>
      <c r="E6" s="138" t="s">
        <v>657</v>
      </c>
      <c r="F6" s="138" t="s">
        <v>658</v>
      </c>
      <c r="G6" s="138" t="s">
        <v>659</v>
      </c>
      <c r="H6" s="138" t="s">
        <v>660</v>
      </c>
      <c r="I6" s="138" t="s">
        <v>670</v>
      </c>
      <c r="J6" s="138" t="s">
        <v>662</v>
      </c>
      <c r="K6" s="138" t="s">
        <v>671</v>
      </c>
      <c r="L6" s="138" t="s">
        <v>95</v>
      </c>
      <c r="M6" s="138" t="s">
        <v>664</v>
      </c>
      <c r="N6" s="138" t="s">
        <v>654</v>
      </c>
      <c r="O6" s="138" t="s">
        <v>665</v>
      </c>
      <c r="P6" s="97"/>
      <c r="Q6"/>
      <c r="R6" s="3"/>
      <c r="S6" s="111"/>
      <c r="T6" s="111"/>
    </row>
    <row r="7" spans="1:28">
      <c r="A7" t="str">
        <f t="shared" si="0"/>
        <v>10-02</v>
      </c>
      <c r="B7" t="str">
        <f t="shared" si="2"/>
        <v>USD</v>
      </c>
      <c r="C7" s="138" t="s">
        <v>656</v>
      </c>
      <c r="D7" s="138">
        <v>1231002</v>
      </c>
      <c r="E7" s="138" t="s">
        <v>657</v>
      </c>
      <c r="F7" s="138" t="s">
        <v>658</v>
      </c>
      <c r="G7" s="138" t="s">
        <v>659</v>
      </c>
      <c r="H7" s="138" t="s">
        <v>660</v>
      </c>
      <c r="I7" s="138" t="s">
        <v>672</v>
      </c>
      <c r="J7" s="138" t="s">
        <v>662</v>
      </c>
      <c r="K7" s="138" t="s">
        <v>673</v>
      </c>
      <c r="L7" s="138" t="s">
        <v>95</v>
      </c>
      <c r="M7" s="138" t="s">
        <v>664</v>
      </c>
      <c r="N7" s="138" t="s">
        <v>654</v>
      </c>
      <c r="O7" s="138" t="s">
        <v>665</v>
      </c>
      <c r="P7" s="97"/>
      <c r="Q7"/>
      <c r="R7" s="3"/>
      <c r="S7" s="111"/>
      <c r="T7" s="111"/>
      <c r="W7"/>
      <c r="X7"/>
      <c r="Y7"/>
      <c r="Z7"/>
      <c r="AA7"/>
      <c r="AB7"/>
    </row>
    <row r="8" spans="1:28">
      <c r="A8" t="str">
        <f t="shared" si="0"/>
        <v>10-02</v>
      </c>
      <c r="B8" t="str">
        <f t="shared" si="2"/>
        <v>USD</v>
      </c>
      <c r="C8" s="138" t="s">
        <v>656</v>
      </c>
      <c r="D8" s="138">
        <v>1231002</v>
      </c>
      <c r="E8" s="138" t="s">
        <v>657</v>
      </c>
      <c r="F8" s="138" t="s">
        <v>658</v>
      </c>
      <c r="G8" s="138" t="s">
        <v>659</v>
      </c>
      <c r="H8" s="138" t="s">
        <v>660</v>
      </c>
      <c r="I8" s="138" t="s">
        <v>674</v>
      </c>
      <c r="J8" s="138" t="s">
        <v>662</v>
      </c>
      <c r="K8" s="138" t="s">
        <v>675</v>
      </c>
      <c r="L8" s="138" t="s">
        <v>95</v>
      </c>
      <c r="M8" s="138" t="s">
        <v>664</v>
      </c>
      <c r="N8" s="138" t="s">
        <v>654</v>
      </c>
      <c r="O8" s="138" t="s">
        <v>665</v>
      </c>
      <c r="P8" s="97"/>
      <c r="Q8"/>
    </row>
    <row r="9" spans="1:28">
      <c r="A9" t="str">
        <f t="shared" si="0"/>
        <v>10-02</v>
      </c>
      <c r="B9" t="str">
        <f t="shared" si="2"/>
        <v>USD</v>
      </c>
      <c r="C9" s="138" t="s">
        <v>656</v>
      </c>
      <c r="D9" s="138">
        <v>1231002</v>
      </c>
      <c r="E9" s="138" t="s">
        <v>657</v>
      </c>
      <c r="F9" s="138" t="s">
        <v>658</v>
      </c>
      <c r="G9" s="138" t="s">
        <v>659</v>
      </c>
      <c r="H9" s="138" t="s">
        <v>660</v>
      </c>
      <c r="I9" s="138" t="s">
        <v>676</v>
      </c>
      <c r="J9" s="138" t="s">
        <v>662</v>
      </c>
      <c r="K9" s="138" t="s">
        <v>677</v>
      </c>
      <c r="L9" s="138" t="s">
        <v>95</v>
      </c>
      <c r="M9" s="138" t="s">
        <v>664</v>
      </c>
      <c r="N9" s="138" t="s">
        <v>654</v>
      </c>
      <c r="O9" s="138" t="s">
        <v>665</v>
      </c>
      <c r="P9" s="97"/>
      <c r="Q9"/>
    </row>
    <row r="10" spans="1:28">
      <c r="A10" t="str">
        <f t="shared" si="0"/>
        <v>10-02</v>
      </c>
      <c r="B10" t="str">
        <f t="shared" si="2"/>
        <v>USD</v>
      </c>
      <c r="C10" s="138" t="s">
        <v>656</v>
      </c>
      <c r="D10" s="138">
        <v>1231002</v>
      </c>
      <c r="E10" s="138" t="s">
        <v>657</v>
      </c>
      <c r="F10" s="138" t="s">
        <v>658</v>
      </c>
      <c r="G10" s="138" t="s">
        <v>659</v>
      </c>
      <c r="H10" s="138" t="s">
        <v>660</v>
      </c>
      <c r="I10" s="138" t="s">
        <v>678</v>
      </c>
      <c r="J10" s="138" t="s">
        <v>662</v>
      </c>
      <c r="K10" s="138" t="s">
        <v>679</v>
      </c>
      <c r="L10" s="138" t="s">
        <v>95</v>
      </c>
      <c r="M10" s="138" t="s">
        <v>664</v>
      </c>
      <c r="N10" s="138" t="s">
        <v>654</v>
      </c>
      <c r="O10" s="138" t="s">
        <v>665</v>
      </c>
      <c r="P10" s="97"/>
      <c r="Q10"/>
    </row>
    <row r="11" spans="1:28">
      <c r="A11" t="str">
        <f t="shared" si="0"/>
        <v>10-02</v>
      </c>
      <c r="B11" t="str">
        <f t="shared" si="2"/>
        <v>USD</v>
      </c>
      <c r="C11" s="138" t="s">
        <v>656</v>
      </c>
      <c r="D11" s="138">
        <v>1231002</v>
      </c>
      <c r="E11" s="138" t="s">
        <v>657</v>
      </c>
      <c r="F11" s="138" t="s">
        <v>658</v>
      </c>
      <c r="G11" s="138" t="s">
        <v>659</v>
      </c>
      <c r="H11" s="138" t="s">
        <v>660</v>
      </c>
      <c r="I11" s="138" t="s">
        <v>680</v>
      </c>
      <c r="J11" s="138" t="s">
        <v>662</v>
      </c>
      <c r="K11" s="138" t="s">
        <v>681</v>
      </c>
      <c r="L11" s="138" t="s">
        <v>95</v>
      </c>
      <c r="M11" s="138" t="s">
        <v>682</v>
      </c>
      <c r="N11" s="138" t="s">
        <v>654</v>
      </c>
      <c r="O11" s="138" t="s">
        <v>665</v>
      </c>
      <c r="P11" s="97"/>
      <c r="Q11"/>
    </row>
    <row r="12" spans="1:28">
      <c r="A12" t="str">
        <f t="shared" si="0"/>
        <v>10-02</v>
      </c>
      <c r="B12" t="str">
        <f t="shared" si="2"/>
        <v>USD</v>
      </c>
      <c r="C12" s="138" t="s">
        <v>656</v>
      </c>
      <c r="D12" s="138">
        <v>1231002</v>
      </c>
      <c r="E12" s="138" t="s">
        <v>657</v>
      </c>
      <c r="F12" s="138" t="s">
        <v>658</v>
      </c>
      <c r="G12" s="138" t="s">
        <v>659</v>
      </c>
      <c r="H12" s="138" t="s">
        <v>660</v>
      </c>
      <c r="I12" s="138" t="s">
        <v>683</v>
      </c>
      <c r="J12" s="138" t="s">
        <v>662</v>
      </c>
      <c r="K12" s="138" t="s">
        <v>684</v>
      </c>
      <c r="L12" s="138" t="s">
        <v>95</v>
      </c>
      <c r="M12" s="138" t="s">
        <v>682</v>
      </c>
      <c r="N12" s="138" t="s">
        <v>654</v>
      </c>
      <c r="O12" s="138" t="s">
        <v>665</v>
      </c>
      <c r="P12" s="97"/>
      <c r="Q12"/>
    </row>
    <row r="13" spans="1:28">
      <c r="A13" t="str">
        <f t="shared" si="0"/>
        <v>10-02</v>
      </c>
      <c r="B13" t="str">
        <f t="shared" si="2"/>
        <v>USD</v>
      </c>
      <c r="C13" s="138" t="s">
        <v>656</v>
      </c>
      <c r="D13" s="138">
        <v>1231002</v>
      </c>
      <c r="E13" s="138" t="s">
        <v>657</v>
      </c>
      <c r="F13" s="138" t="s">
        <v>658</v>
      </c>
      <c r="G13" s="138" t="s">
        <v>659</v>
      </c>
      <c r="H13" s="138" t="s">
        <v>660</v>
      </c>
      <c r="I13" s="138" t="s">
        <v>685</v>
      </c>
      <c r="J13" s="138" t="s">
        <v>662</v>
      </c>
      <c r="K13" s="138" t="s">
        <v>686</v>
      </c>
      <c r="L13" s="138" t="s">
        <v>95</v>
      </c>
      <c r="M13" s="138" t="s">
        <v>682</v>
      </c>
      <c r="N13" s="138" t="s">
        <v>654</v>
      </c>
      <c r="O13" s="138" t="s">
        <v>665</v>
      </c>
      <c r="P13" s="97"/>
      <c r="Q13"/>
    </row>
    <row r="14" spans="1:28">
      <c r="A14" t="str">
        <f t="shared" si="0"/>
        <v>10-02</v>
      </c>
      <c r="B14" t="str">
        <f t="shared" si="2"/>
        <v>USD</v>
      </c>
      <c r="C14" s="138" t="s">
        <v>656</v>
      </c>
      <c r="D14" s="138">
        <v>1231002</v>
      </c>
      <c r="E14" s="138" t="s">
        <v>657</v>
      </c>
      <c r="F14" s="138" t="s">
        <v>658</v>
      </c>
      <c r="G14" s="138" t="s">
        <v>659</v>
      </c>
      <c r="H14" s="138" t="s">
        <v>660</v>
      </c>
      <c r="I14" s="138" t="s">
        <v>687</v>
      </c>
      <c r="J14" s="138" t="s">
        <v>662</v>
      </c>
      <c r="K14" s="138" t="s">
        <v>688</v>
      </c>
      <c r="L14" s="138" t="s">
        <v>95</v>
      </c>
      <c r="M14" s="138" t="s">
        <v>682</v>
      </c>
      <c r="N14" s="138" t="s">
        <v>654</v>
      </c>
      <c r="O14" s="138" t="s">
        <v>665</v>
      </c>
      <c r="P14" s="97"/>
      <c r="Q14"/>
    </row>
    <row r="15" spans="1:28">
      <c r="A15" t="str">
        <f t="shared" si="0"/>
        <v>10-02</v>
      </c>
      <c r="B15" t="str">
        <f t="shared" si="2"/>
        <v>USD</v>
      </c>
      <c r="C15" s="138" t="s">
        <v>656</v>
      </c>
      <c r="D15" s="138">
        <v>1231002</v>
      </c>
      <c r="E15" s="138" t="s">
        <v>657</v>
      </c>
      <c r="F15" s="138" t="s">
        <v>658</v>
      </c>
      <c r="G15" s="138" t="s">
        <v>659</v>
      </c>
      <c r="H15" s="138" t="s">
        <v>660</v>
      </c>
      <c r="I15" s="138" t="s">
        <v>689</v>
      </c>
      <c r="J15" s="138" t="s">
        <v>662</v>
      </c>
      <c r="K15" s="138" t="s">
        <v>690</v>
      </c>
      <c r="L15" s="138" t="s">
        <v>95</v>
      </c>
      <c r="M15" s="138" t="s">
        <v>682</v>
      </c>
      <c r="N15" s="138" t="s">
        <v>654</v>
      </c>
      <c r="O15" s="138" t="s">
        <v>665</v>
      </c>
      <c r="P15" s="97"/>
      <c r="Q15"/>
    </row>
    <row r="16" spans="1:28">
      <c r="A16" t="str">
        <f t="shared" si="0"/>
        <v>10-02</v>
      </c>
      <c r="B16" t="str">
        <f t="shared" si="2"/>
        <v>USD</v>
      </c>
      <c r="C16" s="138" t="s">
        <v>656</v>
      </c>
      <c r="D16" s="138">
        <v>1231002</v>
      </c>
      <c r="E16" s="138" t="s">
        <v>657</v>
      </c>
      <c r="F16" s="138" t="s">
        <v>658</v>
      </c>
      <c r="G16" s="138" t="s">
        <v>659</v>
      </c>
      <c r="H16" s="138" t="s">
        <v>660</v>
      </c>
      <c r="I16" s="138" t="s">
        <v>691</v>
      </c>
      <c r="J16" s="138" t="s">
        <v>662</v>
      </c>
      <c r="K16" s="138" t="s">
        <v>692</v>
      </c>
      <c r="L16" s="138" t="s">
        <v>95</v>
      </c>
      <c r="M16" s="138" t="s">
        <v>682</v>
      </c>
      <c r="N16" s="138" t="s">
        <v>654</v>
      </c>
      <c r="O16" s="138" t="s">
        <v>665</v>
      </c>
      <c r="P16" s="97"/>
      <c r="Q16"/>
    </row>
    <row r="17" spans="1:18">
      <c r="A17" t="str">
        <f t="shared" si="0"/>
        <v>10-02</v>
      </c>
      <c r="B17" t="str">
        <f t="shared" si="2"/>
        <v>USD</v>
      </c>
      <c r="C17" s="138" t="s">
        <v>656</v>
      </c>
      <c r="D17" s="138">
        <v>1231002</v>
      </c>
      <c r="E17" s="138" t="s">
        <v>657</v>
      </c>
      <c r="F17" s="138" t="s">
        <v>658</v>
      </c>
      <c r="G17" s="138" t="s">
        <v>659</v>
      </c>
      <c r="H17" s="138" t="s">
        <v>660</v>
      </c>
      <c r="I17" s="138" t="s">
        <v>693</v>
      </c>
      <c r="J17" s="138" t="s">
        <v>662</v>
      </c>
      <c r="K17" s="138" t="s">
        <v>694</v>
      </c>
      <c r="L17" s="138" t="s">
        <v>95</v>
      </c>
      <c r="M17" s="138" t="s">
        <v>682</v>
      </c>
      <c r="N17" s="138" t="s">
        <v>654</v>
      </c>
      <c r="O17" s="138" t="s">
        <v>665</v>
      </c>
      <c r="P17" s="97"/>
      <c r="Q17"/>
    </row>
    <row r="18" spans="1:18">
      <c r="A18" t="str">
        <f t="shared" si="0"/>
        <v>10-02</v>
      </c>
      <c r="B18" t="str">
        <f t="shared" si="2"/>
        <v>USD</v>
      </c>
      <c r="C18" s="138" t="s">
        <v>656</v>
      </c>
      <c r="D18" s="138">
        <v>1231002</v>
      </c>
      <c r="E18" s="138" t="s">
        <v>657</v>
      </c>
      <c r="F18" s="138" t="s">
        <v>658</v>
      </c>
      <c r="G18" s="138" t="s">
        <v>659</v>
      </c>
      <c r="H18" s="138" t="s">
        <v>660</v>
      </c>
      <c r="I18" s="138" t="s">
        <v>695</v>
      </c>
      <c r="J18" s="138" t="s">
        <v>662</v>
      </c>
      <c r="K18" s="138" t="s">
        <v>696</v>
      </c>
      <c r="L18" s="138" t="s">
        <v>95</v>
      </c>
      <c r="M18" s="138" t="s">
        <v>682</v>
      </c>
      <c r="N18" s="138" t="s">
        <v>654</v>
      </c>
      <c r="O18" s="138" t="s">
        <v>665</v>
      </c>
      <c r="P18" s="97"/>
      <c r="Q18"/>
    </row>
    <row r="19" spans="1:18">
      <c r="A19" t="str">
        <f t="shared" si="0"/>
        <v>10-02</v>
      </c>
      <c r="B19" t="str">
        <f t="shared" si="2"/>
        <v>USD</v>
      </c>
      <c r="C19" s="138" t="s">
        <v>656</v>
      </c>
      <c r="D19" s="138">
        <v>1231002</v>
      </c>
      <c r="E19" s="138" t="s">
        <v>657</v>
      </c>
      <c r="F19" s="138" t="s">
        <v>658</v>
      </c>
      <c r="G19" s="138" t="s">
        <v>659</v>
      </c>
      <c r="H19" s="138" t="s">
        <v>660</v>
      </c>
      <c r="I19" s="138" t="s">
        <v>697</v>
      </c>
      <c r="J19" s="138" t="s">
        <v>662</v>
      </c>
      <c r="K19" s="138" t="s">
        <v>698</v>
      </c>
      <c r="L19" s="138" t="s">
        <v>95</v>
      </c>
      <c r="M19" s="138" t="s">
        <v>682</v>
      </c>
      <c r="N19" s="138" t="s">
        <v>654</v>
      </c>
      <c r="O19" s="138" t="s">
        <v>665</v>
      </c>
      <c r="P19" s="97"/>
      <c r="Q19"/>
    </row>
    <row r="20" spans="1:18">
      <c r="A20" t="str">
        <f t="shared" ref="A20:A67" si="3">MID(D20,(LEN(D20)-3),2)&amp;"-"&amp;MID(D20,(LEN(D20)-1),2)</f>
        <v>10-02</v>
      </c>
      <c r="B20" t="str">
        <f t="shared" ref="B20:B67" si="4">IF(H20="AU","AUD","USD")</f>
        <v>USD</v>
      </c>
      <c r="C20" s="138" t="s">
        <v>656</v>
      </c>
      <c r="D20" s="138">
        <v>1231002</v>
      </c>
      <c r="E20" s="138" t="s">
        <v>657</v>
      </c>
      <c r="F20" s="138" t="s">
        <v>658</v>
      </c>
      <c r="G20" s="138" t="s">
        <v>659</v>
      </c>
      <c r="H20" s="138" t="s">
        <v>660</v>
      </c>
      <c r="I20" s="138" t="s">
        <v>699</v>
      </c>
      <c r="J20" s="138" t="s">
        <v>662</v>
      </c>
      <c r="K20" s="138" t="s">
        <v>700</v>
      </c>
      <c r="L20" s="138" t="s">
        <v>95</v>
      </c>
      <c r="M20" s="138" t="s">
        <v>682</v>
      </c>
      <c r="N20" s="138" t="s">
        <v>654</v>
      </c>
      <c r="O20" s="138" t="s">
        <v>665</v>
      </c>
      <c r="P20" s="97"/>
      <c r="Q20"/>
    </row>
    <row r="21" spans="1:18">
      <c r="A21" t="str">
        <f t="shared" si="3"/>
        <v>10-02</v>
      </c>
      <c r="B21" t="str">
        <f t="shared" si="4"/>
        <v>USD</v>
      </c>
      <c r="C21" s="138" t="s">
        <v>656</v>
      </c>
      <c r="D21" s="138">
        <v>1231002</v>
      </c>
      <c r="E21" s="138" t="s">
        <v>657</v>
      </c>
      <c r="F21" s="138" t="s">
        <v>658</v>
      </c>
      <c r="G21" s="138" t="s">
        <v>659</v>
      </c>
      <c r="H21" s="138" t="s">
        <v>660</v>
      </c>
      <c r="I21" s="138" t="s">
        <v>701</v>
      </c>
      <c r="J21" s="138" t="s">
        <v>662</v>
      </c>
      <c r="K21" s="138" t="s">
        <v>702</v>
      </c>
      <c r="L21" s="138" t="s">
        <v>95</v>
      </c>
      <c r="M21" s="138" t="s">
        <v>682</v>
      </c>
      <c r="N21" s="138" t="s">
        <v>654</v>
      </c>
      <c r="O21" s="138" t="s">
        <v>665</v>
      </c>
      <c r="P21" s="97"/>
      <c r="Q21"/>
    </row>
    <row r="22" spans="1:18">
      <c r="A22" t="str">
        <f t="shared" si="3"/>
        <v>10-02</v>
      </c>
      <c r="B22" t="str">
        <f t="shared" si="4"/>
        <v>USD</v>
      </c>
      <c r="C22" s="138" t="s">
        <v>656</v>
      </c>
      <c r="D22" s="138">
        <v>1231002</v>
      </c>
      <c r="E22" s="138" t="s">
        <v>657</v>
      </c>
      <c r="F22" s="138" t="s">
        <v>658</v>
      </c>
      <c r="G22" s="138" t="s">
        <v>659</v>
      </c>
      <c r="H22" s="138" t="s">
        <v>660</v>
      </c>
      <c r="I22" s="138" t="s">
        <v>703</v>
      </c>
      <c r="J22" s="138" t="s">
        <v>662</v>
      </c>
      <c r="K22" s="138" t="s">
        <v>704</v>
      </c>
      <c r="L22" s="138" t="s">
        <v>95</v>
      </c>
      <c r="M22" s="138" t="s">
        <v>682</v>
      </c>
      <c r="N22" s="138" t="s">
        <v>654</v>
      </c>
      <c r="O22" s="138" t="s">
        <v>665</v>
      </c>
      <c r="P22" s="97"/>
      <c r="Q22"/>
    </row>
    <row r="23" spans="1:18">
      <c r="A23" t="str">
        <f t="shared" si="3"/>
        <v>10-02</v>
      </c>
      <c r="B23" t="str">
        <f t="shared" si="4"/>
        <v>USD</v>
      </c>
      <c r="C23" s="138" t="s">
        <v>656</v>
      </c>
      <c r="D23" s="138">
        <v>1231002</v>
      </c>
      <c r="E23" s="138" t="s">
        <v>657</v>
      </c>
      <c r="F23" s="138" t="s">
        <v>658</v>
      </c>
      <c r="G23" s="138" t="s">
        <v>659</v>
      </c>
      <c r="H23" s="138" t="s">
        <v>660</v>
      </c>
      <c r="I23" s="138" t="s">
        <v>705</v>
      </c>
      <c r="J23" s="138" t="s">
        <v>662</v>
      </c>
      <c r="K23" s="138" t="s">
        <v>706</v>
      </c>
      <c r="L23" s="138" t="s">
        <v>95</v>
      </c>
      <c r="M23" s="138" t="s">
        <v>682</v>
      </c>
      <c r="N23" s="138" t="s">
        <v>654</v>
      </c>
      <c r="O23" s="138" t="s">
        <v>665</v>
      </c>
      <c r="P23" s="97"/>
      <c r="Q23"/>
    </row>
    <row r="24" spans="1:18">
      <c r="A24" t="str">
        <f t="shared" si="3"/>
        <v>10-02</v>
      </c>
      <c r="B24" t="str">
        <f t="shared" si="4"/>
        <v>USD</v>
      </c>
      <c r="C24" s="138" t="s">
        <v>656</v>
      </c>
      <c r="D24" s="138">
        <v>1231002</v>
      </c>
      <c r="E24" s="138" t="s">
        <v>707</v>
      </c>
      <c r="F24" s="138" t="s">
        <v>708</v>
      </c>
      <c r="G24" s="138" t="s">
        <v>709</v>
      </c>
      <c r="H24" s="138" t="s">
        <v>710</v>
      </c>
      <c r="I24" s="138" t="s">
        <v>711</v>
      </c>
      <c r="J24" s="138" t="s">
        <v>662</v>
      </c>
      <c r="K24" s="138" t="s">
        <v>712</v>
      </c>
      <c r="L24" s="138" t="s">
        <v>70</v>
      </c>
      <c r="M24" s="138" t="s">
        <v>713</v>
      </c>
      <c r="N24" s="138" t="s">
        <v>654</v>
      </c>
      <c r="O24" s="138" t="s">
        <v>714</v>
      </c>
      <c r="P24" s="97"/>
      <c r="Q24"/>
    </row>
    <row r="25" spans="1:18">
      <c r="A25" t="str">
        <f t="shared" si="3"/>
        <v>10-02</v>
      </c>
      <c r="B25" t="str">
        <f t="shared" si="4"/>
        <v>USD</v>
      </c>
      <c r="C25" s="138" t="s">
        <v>656</v>
      </c>
      <c r="D25" s="138">
        <v>1231002</v>
      </c>
      <c r="E25" s="138" t="s">
        <v>707</v>
      </c>
      <c r="F25" s="138" t="s">
        <v>708</v>
      </c>
      <c r="G25" s="138" t="s">
        <v>709</v>
      </c>
      <c r="H25" s="138" t="s">
        <v>710</v>
      </c>
      <c r="I25" s="138" t="s">
        <v>715</v>
      </c>
      <c r="J25" s="138" t="s">
        <v>662</v>
      </c>
      <c r="K25" s="138" t="s">
        <v>716</v>
      </c>
      <c r="L25" s="138" t="s">
        <v>70</v>
      </c>
      <c r="M25" s="138" t="s">
        <v>713</v>
      </c>
      <c r="N25" s="138" t="s">
        <v>654</v>
      </c>
      <c r="O25" s="138" t="s">
        <v>714</v>
      </c>
      <c r="P25" s="97"/>
      <c r="Q25"/>
    </row>
    <row r="26" spans="1:18">
      <c r="A26" t="str">
        <f t="shared" si="3"/>
        <v>10-02</v>
      </c>
      <c r="B26" t="str">
        <f t="shared" si="4"/>
        <v>USD</v>
      </c>
      <c r="C26" s="138" t="s">
        <v>656</v>
      </c>
      <c r="D26" s="138">
        <v>1231002</v>
      </c>
      <c r="E26" s="138" t="s">
        <v>707</v>
      </c>
      <c r="F26" s="138" t="s">
        <v>708</v>
      </c>
      <c r="G26" s="138" t="s">
        <v>709</v>
      </c>
      <c r="H26" s="138" t="s">
        <v>710</v>
      </c>
      <c r="I26" s="138" t="s">
        <v>717</v>
      </c>
      <c r="J26" s="138" t="s">
        <v>662</v>
      </c>
      <c r="K26" s="138" t="s">
        <v>718</v>
      </c>
      <c r="L26" s="138" t="s">
        <v>70</v>
      </c>
      <c r="M26" s="138" t="s">
        <v>713</v>
      </c>
      <c r="N26" s="138" t="s">
        <v>654</v>
      </c>
      <c r="O26" s="138" t="s">
        <v>714</v>
      </c>
      <c r="P26" s="97"/>
      <c r="Q26"/>
    </row>
    <row r="27" spans="1:18">
      <c r="A27" t="str">
        <f t="shared" ref="A27:A35" si="5">MID(D27,(LEN(D27)-3),2)&amp;"-"&amp;MID(D27,(LEN(D27)-1),2)</f>
        <v>10-02</v>
      </c>
      <c r="B27" t="str">
        <f t="shared" ref="B27:B35" si="6">IF(H27="AU","AUD","USD")</f>
        <v>USD</v>
      </c>
      <c r="C27" s="138" t="s">
        <v>656</v>
      </c>
      <c r="D27" s="138">
        <v>1231002</v>
      </c>
      <c r="E27" s="138" t="s">
        <v>707</v>
      </c>
      <c r="F27" s="138" t="s">
        <v>708</v>
      </c>
      <c r="G27" s="138" t="s">
        <v>709</v>
      </c>
      <c r="H27" s="138" t="s">
        <v>710</v>
      </c>
      <c r="I27" s="138" t="s">
        <v>719</v>
      </c>
      <c r="J27" s="138" t="s">
        <v>662</v>
      </c>
      <c r="K27" s="138" t="s">
        <v>720</v>
      </c>
      <c r="L27" s="138" t="s">
        <v>70</v>
      </c>
      <c r="M27" s="138" t="s">
        <v>713</v>
      </c>
      <c r="N27" s="138" t="s">
        <v>654</v>
      </c>
      <c r="O27" s="138" t="s">
        <v>714</v>
      </c>
      <c r="P27" s="97"/>
      <c r="Q27"/>
    </row>
    <row r="28" spans="1:18">
      <c r="A28" t="str">
        <f t="shared" si="5"/>
        <v>10-02</v>
      </c>
      <c r="B28" t="str">
        <f t="shared" si="6"/>
        <v>USD</v>
      </c>
      <c r="C28" s="138" t="s">
        <v>656</v>
      </c>
      <c r="D28" s="138">
        <v>1231002</v>
      </c>
      <c r="E28" s="138" t="s">
        <v>707</v>
      </c>
      <c r="F28" s="138" t="s">
        <v>708</v>
      </c>
      <c r="G28" s="138" t="s">
        <v>709</v>
      </c>
      <c r="H28" s="138" t="s">
        <v>710</v>
      </c>
      <c r="I28" s="138" t="s">
        <v>721</v>
      </c>
      <c r="J28" s="138" t="s">
        <v>662</v>
      </c>
      <c r="K28" s="138" t="s">
        <v>722</v>
      </c>
      <c r="L28" s="138" t="s">
        <v>70</v>
      </c>
      <c r="M28" s="138" t="s">
        <v>713</v>
      </c>
      <c r="N28" s="138" t="s">
        <v>654</v>
      </c>
      <c r="O28" s="138" t="s">
        <v>714</v>
      </c>
      <c r="P28" s="97"/>
      <c r="Q28"/>
    </row>
    <row r="29" spans="1:18">
      <c r="A29" t="str">
        <f t="shared" si="5"/>
        <v>10-02</v>
      </c>
      <c r="B29" t="str">
        <f t="shared" si="6"/>
        <v>USD</v>
      </c>
      <c r="C29" s="138" t="s">
        <v>656</v>
      </c>
      <c r="D29" s="138">
        <v>1231002</v>
      </c>
      <c r="E29" s="138" t="s">
        <v>707</v>
      </c>
      <c r="F29" s="138" t="s">
        <v>708</v>
      </c>
      <c r="G29" s="138" t="s">
        <v>709</v>
      </c>
      <c r="H29" s="138" t="s">
        <v>710</v>
      </c>
      <c r="I29" s="138" t="s">
        <v>723</v>
      </c>
      <c r="J29" s="138" t="s">
        <v>662</v>
      </c>
      <c r="K29" s="138" t="s">
        <v>724</v>
      </c>
      <c r="L29" s="138" t="s">
        <v>70</v>
      </c>
      <c r="M29" s="138" t="s">
        <v>713</v>
      </c>
      <c r="N29" s="138" t="s">
        <v>654</v>
      </c>
      <c r="O29" s="138" t="s">
        <v>714</v>
      </c>
      <c r="P29" s="97"/>
      <c r="Q29"/>
    </row>
    <row r="30" spans="1:18">
      <c r="A30" t="str">
        <f t="shared" si="5"/>
        <v>10-02</v>
      </c>
      <c r="B30" t="str">
        <f t="shared" si="6"/>
        <v>USD</v>
      </c>
      <c r="C30" s="138" t="s">
        <v>656</v>
      </c>
      <c r="D30" s="138">
        <v>1231002</v>
      </c>
      <c r="E30" s="138" t="s">
        <v>707</v>
      </c>
      <c r="F30" s="138" t="s">
        <v>708</v>
      </c>
      <c r="G30" s="138" t="s">
        <v>709</v>
      </c>
      <c r="H30" s="138" t="s">
        <v>710</v>
      </c>
      <c r="I30" s="138" t="s">
        <v>725</v>
      </c>
      <c r="J30" s="138" t="s">
        <v>662</v>
      </c>
      <c r="K30" s="138" t="s">
        <v>726</v>
      </c>
      <c r="L30" s="138" t="s">
        <v>70</v>
      </c>
      <c r="M30" s="138" t="s">
        <v>713</v>
      </c>
      <c r="N30" s="138" t="s">
        <v>654</v>
      </c>
      <c r="O30" s="138" t="s">
        <v>714</v>
      </c>
      <c r="P30" s="97"/>
      <c r="Q30"/>
    </row>
    <row r="31" spans="1:18">
      <c r="A31" t="str">
        <f t="shared" si="5"/>
        <v>10-02</v>
      </c>
      <c r="B31" t="str">
        <f t="shared" si="6"/>
        <v>USD</v>
      </c>
      <c r="C31" s="138" t="s">
        <v>656</v>
      </c>
      <c r="D31" s="138">
        <v>1231002</v>
      </c>
      <c r="E31" s="138" t="s">
        <v>707</v>
      </c>
      <c r="F31" s="138" t="s">
        <v>708</v>
      </c>
      <c r="G31" s="138" t="s">
        <v>709</v>
      </c>
      <c r="H31" s="138" t="s">
        <v>710</v>
      </c>
      <c r="I31" s="138" t="s">
        <v>727</v>
      </c>
      <c r="J31" s="138" t="s">
        <v>662</v>
      </c>
      <c r="K31" s="138" t="s">
        <v>728</v>
      </c>
      <c r="L31" s="138" t="s">
        <v>70</v>
      </c>
      <c r="M31" s="138" t="s">
        <v>713</v>
      </c>
      <c r="N31" s="138" t="s">
        <v>654</v>
      </c>
      <c r="O31" s="138" t="s">
        <v>714</v>
      </c>
      <c r="P31" s="97"/>
      <c r="Q31"/>
    </row>
    <row r="32" spans="1:18">
      <c r="A32" t="str">
        <f t="shared" si="5"/>
        <v>10-02</v>
      </c>
      <c r="B32" t="str">
        <f t="shared" si="6"/>
        <v>USD</v>
      </c>
      <c r="C32" s="138" t="s">
        <v>656</v>
      </c>
      <c r="D32" s="138">
        <v>1231002</v>
      </c>
      <c r="E32" s="138" t="s">
        <v>707</v>
      </c>
      <c r="F32" s="138" t="s">
        <v>708</v>
      </c>
      <c r="G32" s="138" t="s">
        <v>709</v>
      </c>
      <c r="H32" s="138" t="s">
        <v>710</v>
      </c>
      <c r="I32" s="138" t="s">
        <v>729</v>
      </c>
      <c r="J32" s="138" t="s">
        <v>662</v>
      </c>
      <c r="K32" s="138" t="s">
        <v>730</v>
      </c>
      <c r="L32" s="138" t="s">
        <v>70</v>
      </c>
      <c r="M32" s="138" t="s">
        <v>713</v>
      </c>
      <c r="N32" s="138" t="s">
        <v>654</v>
      </c>
      <c r="O32" s="138" t="s">
        <v>714</v>
      </c>
      <c r="P32" s="97"/>
      <c r="Q32"/>
      <c r="R32" s="99"/>
    </row>
    <row r="33" spans="1:18">
      <c r="A33" t="str">
        <f t="shared" si="5"/>
        <v>10-02</v>
      </c>
      <c r="B33" t="str">
        <f t="shared" si="6"/>
        <v>USD</v>
      </c>
      <c r="C33" s="138" t="s">
        <v>656</v>
      </c>
      <c r="D33" s="138">
        <v>1231002</v>
      </c>
      <c r="E33" s="138" t="s">
        <v>707</v>
      </c>
      <c r="F33" s="138" t="s">
        <v>708</v>
      </c>
      <c r="G33" s="138" t="s">
        <v>709</v>
      </c>
      <c r="H33" s="138" t="s">
        <v>710</v>
      </c>
      <c r="I33" s="138" t="s">
        <v>731</v>
      </c>
      <c r="J33" s="138" t="s">
        <v>662</v>
      </c>
      <c r="K33" s="138" t="s">
        <v>732</v>
      </c>
      <c r="L33" s="138" t="s">
        <v>70</v>
      </c>
      <c r="M33" s="138" t="s">
        <v>713</v>
      </c>
      <c r="N33" s="138" t="s">
        <v>654</v>
      </c>
      <c r="O33" s="138" t="s">
        <v>714</v>
      </c>
      <c r="P33" s="97"/>
      <c r="Q33"/>
      <c r="R33" s="99"/>
    </row>
    <row r="34" spans="1:18">
      <c r="A34" t="str">
        <f t="shared" si="5"/>
        <v>10-02</v>
      </c>
      <c r="B34" t="str">
        <f t="shared" si="6"/>
        <v>USD</v>
      </c>
      <c r="C34" s="138" t="s">
        <v>656</v>
      </c>
      <c r="D34" s="138">
        <v>1231002</v>
      </c>
      <c r="E34" s="138" t="s">
        <v>707</v>
      </c>
      <c r="F34" s="138" t="s">
        <v>708</v>
      </c>
      <c r="G34" s="138" t="s">
        <v>709</v>
      </c>
      <c r="H34" s="138" t="s">
        <v>710</v>
      </c>
      <c r="I34" s="138" t="s">
        <v>733</v>
      </c>
      <c r="J34" s="138" t="s">
        <v>662</v>
      </c>
      <c r="K34" s="138" t="s">
        <v>734</v>
      </c>
      <c r="L34" s="138" t="s">
        <v>70</v>
      </c>
      <c r="M34" s="138" t="s">
        <v>713</v>
      </c>
      <c r="N34" s="138" t="s">
        <v>654</v>
      </c>
      <c r="O34" s="138" t="s">
        <v>714</v>
      </c>
      <c r="P34" s="97"/>
      <c r="Q34"/>
      <c r="R34" s="99"/>
    </row>
    <row r="35" spans="1:18">
      <c r="A35" t="str">
        <f t="shared" si="5"/>
        <v>10-02</v>
      </c>
      <c r="B35" t="str">
        <f t="shared" si="6"/>
        <v>USD</v>
      </c>
      <c r="C35" s="138" t="s">
        <v>656</v>
      </c>
      <c r="D35" s="138">
        <v>1231002</v>
      </c>
      <c r="E35" s="138" t="s">
        <v>707</v>
      </c>
      <c r="F35" s="138" t="s">
        <v>708</v>
      </c>
      <c r="G35" s="138" t="s">
        <v>709</v>
      </c>
      <c r="H35" s="138" t="s">
        <v>710</v>
      </c>
      <c r="I35" s="138" t="s">
        <v>735</v>
      </c>
      <c r="J35" s="138" t="s">
        <v>662</v>
      </c>
      <c r="K35" s="138" t="s">
        <v>736</v>
      </c>
      <c r="L35" s="138" t="s">
        <v>70</v>
      </c>
      <c r="M35" s="138" t="s">
        <v>713</v>
      </c>
      <c r="N35" s="138" t="s">
        <v>654</v>
      </c>
      <c r="O35" s="138" t="s">
        <v>714</v>
      </c>
      <c r="P35" s="97"/>
      <c r="Q35"/>
      <c r="R35" s="99"/>
    </row>
    <row r="36" spans="1:18">
      <c r="A36" t="str">
        <f t="shared" si="3"/>
        <v>10-02</v>
      </c>
      <c r="B36" t="str">
        <f t="shared" si="4"/>
        <v>USD</v>
      </c>
      <c r="C36" s="138" t="s">
        <v>656</v>
      </c>
      <c r="D36" s="138">
        <v>1231002</v>
      </c>
      <c r="E36" s="138" t="s">
        <v>707</v>
      </c>
      <c r="F36" s="138" t="s">
        <v>708</v>
      </c>
      <c r="G36" s="138" t="s">
        <v>709</v>
      </c>
      <c r="H36" s="138" t="s">
        <v>710</v>
      </c>
      <c r="I36" s="138" t="s">
        <v>737</v>
      </c>
      <c r="J36" s="138" t="s">
        <v>662</v>
      </c>
      <c r="K36" s="138" t="s">
        <v>535</v>
      </c>
      <c r="L36" s="138" t="s">
        <v>70</v>
      </c>
      <c r="M36" s="138" t="s">
        <v>713</v>
      </c>
      <c r="N36" s="138" t="s">
        <v>654</v>
      </c>
      <c r="O36" s="138" t="s">
        <v>714</v>
      </c>
      <c r="P36" s="97"/>
      <c r="Q36"/>
      <c r="R36" s="99"/>
    </row>
    <row r="37" spans="1:18">
      <c r="A37" t="str">
        <f t="shared" si="3"/>
        <v>10-02</v>
      </c>
      <c r="B37" t="str">
        <f t="shared" si="4"/>
        <v>USD</v>
      </c>
      <c r="C37" s="138" t="s">
        <v>656</v>
      </c>
      <c r="D37" s="138">
        <v>1231002</v>
      </c>
      <c r="E37" s="138" t="s">
        <v>707</v>
      </c>
      <c r="F37" s="138" t="s">
        <v>708</v>
      </c>
      <c r="G37" s="138" t="s">
        <v>709</v>
      </c>
      <c r="H37" s="138" t="s">
        <v>710</v>
      </c>
      <c r="I37" s="138" t="s">
        <v>738</v>
      </c>
      <c r="J37" s="138" t="s">
        <v>662</v>
      </c>
      <c r="K37" s="138" t="s">
        <v>739</v>
      </c>
      <c r="L37" s="138" t="s">
        <v>70</v>
      </c>
      <c r="M37" s="138" t="s">
        <v>713</v>
      </c>
      <c r="N37" s="138" t="s">
        <v>654</v>
      </c>
      <c r="O37" s="138" t="s">
        <v>714</v>
      </c>
      <c r="P37" s="97"/>
      <c r="Q37"/>
      <c r="R37" s="99"/>
    </row>
    <row r="38" spans="1:18">
      <c r="A38" t="str">
        <f t="shared" si="3"/>
        <v>10-02</v>
      </c>
      <c r="B38" t="str">
        <f t="shared" si="4"/>
        <v>USD</v>
      </c>
      <c r="C38" s="138" t="s">
        <v>656</v>
      </c>
      <c r="D38" s="138">
        <v>1231002</v>
      </c>
      <c r="E38" s="138" t="s">
        <v>707</v>
      </c>
      <c r="F38" s="138" t="s">
        <v>708</v>
      </c>
      <c r="G38" s="138" t="s">
        <v>709</v>
      </c>
      <c r="H38" s="138" t="s">
        <v>710</v>
      </c>
      <c r="I38" s="138" t="s">
        <v>740</v>
      </c>
      <c r="J38" s="138" t="s">
        <v>662</v>
      </c>
      <c r="K38" s="138" t="s">
        <v>741</v>
      </c>
      <c r="L38" s="138" t="s">
        <v>70</v>
      </c>
      <c r="M38" s="138" t="s">
        <v>713</v>
      </c>
      <c r="N38" s="138" t="s">
        <v>654</v>
      </c>
      <c r="O38" s="138" t="s">
        <v>714</v>
      </c>
      <c r="P38" s="97"/>
      <c r="Q38"/>
      <c r="R38" s="99"/>
    </row>
    <row r="39" spans="1:18">
      <c r="A39" t="str">
        <f t="shared" si="3"/>
        <v>10-02</v>
      </c>
      <c r="B39" t="str">
        <f t="shared" si="4"/>
        <v>USD</v>
      </c>
      <c r="C39" s="138" t="s">
        <v>656</v>
      </c>
      <c r="D39" s="138">
        <v>1231002</v>
      </c>
      <c r="E39" s="138" t="s">
        <v>707</v>
      </c>
      <c r="F39" s="138" t="s">
        <v>708</v>
      </c>
      <c r="G39" s="138" t="s">
        <v>709</v>
      </c>
      <c r="H39" s="138" t="s">
        <v>710</v>
      </c>
      <c r="I39" s="138" t="s">
        <v>742</v>
      </c>
      <c r="J39" s="138" t="s">
        <v>662</v>
      </c>
      <c r="K39" s="138" t="s">
        <v>743</v>
      </c>
      <c r="L39" s="138" t="s">
        <v>70</v>
      </c>
      <c r="M39" s="138" t="s">
        <v>713</v>
      </c>
      <c r="N39" s="138" t="s">
        <v>654</v>
      </c>
      <c r="O39" s="138" t="s">
        <v>714</v>
      </c>
      <c r="P39" s="97"/>
      <c r="Q39"/>
      <c r="R39" s="99"/>
    </row>
    <row r="40" spans="1:18">
      <c r="A40" t="str">
        <f t="shared" si="3"/>
        <v>10-02</v>
      </c>
      <c r="B40" t="str">
        <f t="shared" si="4"/>
        <v>USD</v>
      </c>
      <c r="C40" s="138" t="s">
        <v>656</v>
      </c>
      <c r="D40" s="138">
        <v>1231002</v>
      </c>
      <c r="E40" s="138" t="s">
        <v>707</v>
      </c>
      <c r="F40" s="138" t="s">
        <v>708</v>
      </c>
      <c r="G40" s="138" t="s">
        <v>709</v>
      </c>
      <c r="H40" s="138" t="s">
        <v>710</v>
      </c>
      <c r="I40" s="138" t="s">
        <v>744</v>
      </c>
      <c r="J40" s="138" t="s">
        <v>662</v>
      </c>
      <c r="K40" s="138" t="s">
        <v>745</v>
      </c>
      <c r="L40" s="138" t="s">
        <v>70</v>
      </c>
      <c r="M40" s="138" t="s">
        <v>713</v>
      </c>
      <c r="N40" s="138" t="s">
        <v>654</v>
      </c>
      <c r="O40" s="138" t="s">
        <v>714</v>
      </c>
      <c r="P40" s="97"/>
      <c r="Q40"/>
      <c r="R40" s="99"/>
    </row>
    <row r="41" spans="1:18">
      <c r="A41" t="str">
        <f t="shared" si="3"/>
        <v>10-02</v>
      </c>
      <c r="B41" t="str">
        <f t="shared" si="4"/>
        <v>USD</v>
      </c>
      <c r="C41" s="138" t="s">
        <v>656</v>
      </c>
      <c r="D41" s="138">
        <v>1231002</v>
      </c>
      <c r="E41" s="138" t="s">
        <v>707</v>
      </c>
      <c r="F41" s="138" t="s">
        <v>708</v>
      </c>
      <c r="G41" s="138" t="s">
        <v>709</v>
      </c>
      <c r="H41" s="138" t="s">
        <v>710</v>
      </c>
      <c r="I41" s="138" t="s">
        <v>746</v>
      </c>
      <c r="J41" s="138" t="s">
        <v>662</v>
      </c>
      <c r="K41" s="138" t="s">
        <v>747</v>
      </c>
      <c r="L41" s="138" t="s">
        <v>70</v>
      </c>
      <c r="M41" s="138" t="s">
        <v>713</v>
      </c>
      <c r="N41" s="138" t="s">
        <v>654</v>
      </c>
      <c r="O41" s="138" t="s">
        <v>714</v>
      </c>
      <c r="P41" s="97"/>
      <c r="Q41"/>
      <c r="R41" s="99"/>
    </row>
    <row r="42" spans="1:18">
      <c r="A42" t="str">
        <f t="shared" si="3"/>
        <v>10-02</v>
      </c>
      <c r="B42" t="str">
        <f t="shared" si="4"/>
        <v>USD</v>
      </c>
      <c r="C42" s="138" t="s">
        <v>656</v>
      </c>
      <c r="D42" s="138">
        <v>1231002</v>
      </c>
      <c r="E42" s="138" t="s">
        <v>707</v>
      </c>
      <c r="F42" s="138" t="s">
        <v>708</v>
      </c>
      <c r="G42" s="138" t="s">
        <v>709</v>
      </c>
      <c r="H42" s="138" t="s">
        <v>710</v>
      </c>
      <c r="I42" s="138" t="s">
        <v>748</v>
      </c>
      <c r="J42" s="138" t="s">
        <v>662</v>
      </c>
      <c r="K42" s="138" t="s">
        <v>749</v>
      </c>
      <c r="L42" s="138" t="s">
        <v>70</v>
      </c>
      <c r="M42" s="138" t="s">
        <v>713</v>
      </c>
      <c r="N42" s="138" t="s">
        <v>654</v>
      </c>
      <c r="O42" s="138" t="s">
        <v>714</v>
      </c>
      <c r="P42" s="97"/>
      <c r="Q42"/>
      <c r="R42" s="99"/>
    </row>
    <row r="43" spans="1:18">
      <c r="A43" t="str">
        <f t="shared" si="3"/>
        <v>10-02</v>
      </c>
      <c r="B43" t="str">
        <f t="shared" si="4"/>
        <v>USD</v>
      </c>
      <c r="C43" s="138" t="s">
        <v>656</v>
      </c>
      <c r="D43" s="138">
        <v>1231002</v>
      </c>
      <c r="E43" s="138" t="s">
        <v>707</v>
      </c>
      <c r="F43" s="138" t="s">
        <v>708</v>
      </c>
      <c r="G43" s="138" t="s">
        <v>709</v>
      </c>
      <c r="H43" s="138" t="s">
        <v>710</v>
      </c>
      <c r="I43" s="138" t="s">
        <v>750</v>
      </c>
      <c r="J43" s="138" t="s">
        <v>662</v>
      </c>
      <c r="K43" s="138" t="s">
        <v>751</v>
      </c>
      <c r="L43" s="138" t="s">
        <v>70</v>
      </c>
      <c r="M43" s="138" t="s">
        <v>713</v>
      </c>
      <c r="N43" s="138" t="s">
        <v>654</v>
      </c>
      <c r="O43" s="138" t="s">
        <v>714</v>
      </c>
      <c r="P43" s="97"/>
      <c r="Q43"/>
      <c r="R43" s="99"/>
    </row>
    <row r="44" spans="1:18">
      <c r="A44" t="str">
        <f t="shared" si="3"/>
        <v>10-02</v>
      </c>
      <c r="B44" t="str">
        <f t="shared" si="4"/>
        <v>USD</v>
      </c>
      <c r="C44" s="138" t="s">
        <v>656</v>
      </c>
      <c r="D44" s="138">
        <v>1231002</v>
      </c>
      <c r="E44" s="138" t="s">
        <v>707</v>
      </c>
      <c r="F44" s="138" t="s">
        <v>708</v>
      </c>
      <c r="G44" s="138" t="s">
        <v>709</v>
      </c>
      <c r="H44" s="138" t="s">
        <v>710</v>
      </c>
      <c r="I44" s="138" t="s">
        <v>752</v>
      </c>
      <c r="J44" s="138" t="s">
        <v>662</v>
      </c>
      <c r="K44" s="138" t="s">
        <v>753</v>
      </c>
      <c r="L44" s="138" t="s">
        <v>70</v>
      </c>
      <c r="M44" s="138" t="s">
        <v>713</v>
      </c>
      <c r="N44" s="138" t="s">
        <v>654</v>
      </c>
      <c r="O44" s="138" t="s">
        <v>714</v>
      </c>
      <c r="P44" s="97"/>
      <c r="Q44"/>
      <c r="R44" s="99"/>
    </row>
    <row r="45" spans="1:18">
      <c r="A45" t="str">
        <f t="shared" si="3"/>
        <v>10-02</v>
      </c>
      <c r="B45" t="str">
        <f t="shared" si="4"/>
        <v>USD</v>
      </c>
      <c r="C45" s="138" t="s">
        <v>656</v>
      </c>
      <c r="D45" s="138">
        <v>1231002</v>
      </c>
      <c r="E45" s="138" t="s">
        <v>707</v>
      </c>
      <c r="F45" s="138" t="s">
        <v>708</v>
      </c>
      <c r="G45" s="138" t="s">
        <v>709</v>
      </c>
      <c r="H45" s="138" t="s">
        <v>710</v>
      </c>
      <c r="I45" s="138" t="s">
        <v>754</v>
      </c>
      <c r="J45" s="138" t="s">
        <v>662</v>
      </c>
      <c r="K45" s="138" t="s">
        <v>755</v>
      </c>
      <c r="L45" s="138" t="s">
        <v>70</v>
      </c>
      <c r="M45" s="138" t="s">
        <v>713</v>
      </c>
      <c r="N45" s="138" t="s">
        <v>654</v>
      </c>
      <c r="O45" s="138" t="s">
        <v>714</v>
      </c>
      <c r="P45" s="97"/>
      <c r="Q45"/>
      <c r="R45" s="99"/>
    </row>
    <row r="46" spans="1:18">
      <c r="A46" t="str">
        <f t="shared" si="3"/>
        <v>10-02</v>
      </c>
      <c r="B46" t="str">
        <f t="shared" si="4"/>
        <v>USD</v>
      </c>
      <c r="C46" s="138" t="s">
        <v>656</v>
      </c>
      <c r="D46" s="138">
        <v>1231002</v>
      </c>
      <c r="E46" s="138" t="s">
        <v>707</v>
      </c>
      <c r="F46" s="138" t="s">
        <v>708</v>
      </c>
      <c r="G46" s="138" t="s">
        <v>709</v>
      </c>
      <c r="H46" s="138" t="s">
        <v>710</v>
      </c>
      <c r="I46" s="138" t="s">
        <v>756</v>
      </c>
      <c r="J46" s="138" t="s">
        <v>662</v>
      </c>
      <c r="K46" s="138" t="s">
        <v>757</v>
      </c>
      <c r="L46" s="138" t="s">
        <v>70</v>
      </c>
      <c r="M46" s="138" t="s">
        <v>713</v>
      </c>
      <c r="N46" s="138" t="s">
        <v>654</v>
      </c>
      <c r="O46" s="138" t="s">
        <v>714</v>
      </c>
      <c r="P46" s="97"/>
      <c r="Q46"/>
      <c r="R46" s="99"/>
    </row>
    <row r="47" spans="1:18">
      <c r="A47" t="str">
        <f t="shared" si="3"/>
        <v>10-02</v>
      </c>
      <c r="B47" t="str">
        <f t="shared" si="4"/>
        <v>USD</v>
      </c>
      <c r="C47" s="138" t="s">
        <v>656</v>
      </c>
      <c r="D47" s="138">
        <v>1231002</v>
      </c>
      <c r="E47" s="138" t="s">
        <v>707</v>
      </c>
      <c r="F47" s="138" t="s">
        <v>708</v>
      </c>
      <c r="G47" s="138" t="s">
        <v>709</v>
      </c>
      <c r="H47" s="138" t="s">
        <v>710</v>
      </c>
      <c r="I47" s="138" t="s">
        <v>758</v>
      </c>
      <c r="J47" s="138" t="s">
        <v>662</v>
      </c>
      <c r="K47" s="138" t="s">
        <v>759</v>
      </c>
      <c r="L47" s="138" t="s">
        <v>70</v>
      </c>
      <c r="M47" s="138" t="s">
        <v>713</v>
      </c>
      <c r="N47" s="138" t="s">
        <v>654</v>
      </c>
      <c r="O47" s="138" t="s">
        <v>714</v>
      </c>
      <c r="P47" s="97"/>
      <c r="Q47"/>
      <c r="R47" s="99"/>
    </row>
    <row r="48" spans="1:18">
      <c r="A48" t="str">
        <f t="shared" si="3"/>
        <v>10-02</v>
      </c>
      <c r="B48" t="str">
        <f t="shared" si="4"/>
        <v>USD</v>
      </c>
      <c r="C48" s="138" t="s">
        <v>656</v>
      </c>
      <c r="D48" s="138">
        <v>1231002</v>
      </c>
      <c r="E48" s="138" t="s">
        <v>707</v>
      </c>
      <c r="F48" s="138" t="s">
        <v>708</v>
      </c>
      <c r="G48" s="138" t="s">
        <v>709</v>
      </c>
      <c r="H48" s="138" t="s">
        <v>710</v>
      </c>
      <c r="I48" s="138" t="s">
        <v>760</v>
      </c>
      <c r="J48" s="138" t="s">
        <v>662</v>
      </c>
      <c r="K48" s="138" t="s">
        <v>761</v>
      </c>
      <c r="L48" s="138" t="s">
        <v>70</v>
      </c>
      <c r="M48" s="138" t="s">
        <v>713</v>
      </c>
      <c r="N48" s="138" t="s">
        <v>654</v>
      </c>
      <c r="O48" s="138" t="s">
        <v>714</v>
      </c>
      <c r="P48" s="97"/>
      <c r="Q48"/>
      <c r="R48" s="99"/>
    </row>
    <row r="49" spans="1:18">
      <c r="A49" t="str">
        <f t="shared" si="3"/>
        <v>10-02</v>
      </c>
      <c r="B49" t="str">
        <f t="shared" si="4"/>
        <v>USD</v>
      </c>
      <c r="C49" s="138" t="s">
        <v>656</v>
      </c>
      <c r="D49" s="138">
        <v>1231002</v>
      </c>
      <c r="E49" s="138" t="s">
        <v>707</v>
      </c>
      <c r="F49" s="138" t="s">
        <v>708</v>
      </c>
      <c r="G49" s="138" t="s">
        <v>709</v>
      </c>
      <c r="H49" s="138" t="s">
        <v>710</v>
      </c>
      <c r="I49" s="138" t="s">
        <v>762</v>
      </c>
      <c r="J49" s="138" t="s">
        <v>662</v>
      </c>
      <c r="K49" s="138" t="s">
        <v>763</v>
      </c>
      <c r="L49" s="138" t="s">
        <v>70</v>
      </c>
      <c r="M49" s="138" t="s">
        <v>713</v>
      </c>
      <c r="N49" s="138" t="s">
        <v>654</v>
      </c>
      <c r="O49" s="138" t="s">
        <v>714</v>
      </c>
      <c r="P49" s="97"/>
      <c r="Q49"/>
      <c r="R49" s="99"/>
    </row>
    <row r="50" spans="1:18">
      <c r="A50" t="str">
        <f t="shared" si="3"/>
        <v>10-02</v>
      </c>
      <c r="B50" t="str">
        <f t="shared" si="4"/>
        <v>USD</v>
      </c>
      <c r="C50" s="138" t="s">
        <v>656</v>
      </c>
      <c r="D50" s="138">
        <v>1231002</v>
      </c>
      <c r="E50" s="138" t="s">
        <v>707</v>
      </c>
      <c r="F50" s="138" t="s">
        <v>708</v>
      </c>
      <c r="G50" s="138" t="s">
        <v>709</v>
      </c>
      <c r="H50" s="138" t="s">
        <v>710</v>
      </c>
      <c r="I50" s="138" t="s">
        <v>764</v>
      </c>
      <c r="J50" s="138" t="s">
        <v>662</v>
      </c>
      <c r="K50" s="138" t="s">
        <v>765</v>
      </c>
      <c r="L50" s="138" t="s">
        <v>70</v>
      </c>
      <c r="M50" s="138" t="s">
        <v>713</v>
      </c>
      <c r="N50" s="138" t="s">
        <v>654</v>
      </c>
      <c r="O50" s="138" t="s">
        <v>714</v>
      </c>
      <c r="P50" s="97"/>
      <c r="Q50"/>
    </row>
    <row r="51" spans="1:18">
      <c r="A51" t="str">
        <f t="shared" si="3"/>
        <v>10-02</v>
      </c>
      <c r="B51" t="str">
        <f t="shared" si="4"/>
        <v>USD</v>
      </c>
      <c r="C51" s="138" t="s">
        <v>656</v>
      </c>
      <c r="D51" s="138">
        <v>1231002</v>
      </c>
      <c r="E51" s="138" t="s">
        <v>707</v>
      </c>
      <c r="F51" s="138" t="s">
        <v>708</v>
      </c>
      <c r="G51" s="138" t="s">
        <v>709</v>
      </c>
      <c r="H51" s="138" t="s">
        <v>710</v>
      </c>
      <c r="I51" s="138" t="s">
        <v>766</v>
      </c>
      <c r="J51" s="138" t="s">
        <v>662</v>
      </c>
      <c r="K51" s="138" t="s">
        <v>767</v>
      </c>
      <c r="L51" s="138" t="s">
        <v>70</v>
      </c>
      <c r="M51" s="138" t="s">
        <v>713</v>
      </c>
      <c r="N51" s="138" t="s">
        <v>654</v>
      </c>
      <c r="O51" s="138" t="s">
        <v>714</v>
      </c>
      <c r="P51" s="97"/>
      <c r="Q51"/>
    </row>
    <row r="52" spans="1:18">
      <c r="A52" t="str">
        <f t="shared" si="3"/>
        <v>10-02</v>
      </c>
      <c r="B52" t="str">
        <f t="shared" si="4"/>
        <v>USD</v>
      </c>
      <c r="C52" s="138" t="s">
        <v>656</v>
      </c>
      <c r="D52" s="138">
        <v>1231002</v>
      </c>
      <c r="E52" s="138" t="s">
        <v>707</v>
      </c>
      <c r="F52" s="138" t="s">
        <v>708</v>
      </c>
      <c r="G52" s="138" t="s">
        <v>709</v>
      </c>
      <c r="H52" s="138" t="s">
        <v>710</v>
      </c>
      <c r="I52" s="138" t="s">
        <v>768</v>
      </c>
      <c r="J52" s="138" t="s">
        <v>662</v>
      </c>
      <c r="K52" s="138" t="s">
        <v>769</v>
      </c>
      <c r="L52" s="138" t="s">
        <v>70</v>
      </c>
      <c r="M52" s="138" t="s">
        <v>713</v>
      </c>
      <c r="N52" s="138" t="s">
        <v>654</v>
      </c>
      <c r="O52" s="138" t="s">
        <v>714</v>
      </c>
      <c r="P52" s="97"/>
      <c r="Q52"/>
    </row>
    <row r="53" spans="1:18">
      <c r="A53" t="str">
        <f t="shared" si="3"/>
        <v>10-02</v>
      </c>
      <c r="B53" t="str">
        <f t="shared" si="4"/>
        <v>USD</v>
      </c>
      <c r="C53" s="138" t="s">
        <v>656</v>
      </c>
      <c r="D53" s="138">
        <v>1231002</v>
      </c>
      <c r="E53" s="138" t="s">
        <v>707</v>
      </c>
      <c r="F53" s="138" t="s">
        <v>708</v>
      </c>
      <c r="G53" s="138" t="s">
        <v>709</v>
      </c>
      <c r="H53" s="138" t="s">
        <v>710</v>
      </c>
      <c r="I53" s="138" t="s">
        <v>770</v>
      </c>
      <c r="J53" s="138" t="s">
        <v>662</v>
      </c>
      <c r="K53" s="138" t="s">
        <v>771</v>
      </c>
      <c r="L53" s="138" t="s">
        <v>70</v>
      </c>
      <c r="M53" s="138" t="s">
        <v>713</v>
      </c>
      <c r="N53" s="138" t="s">
        <v>654</v>
      </c>
      <c r="O53" s="138" t="s">
        <v>714</v>
      </c>
      <c r="P53" s="97"/>
      <c r="Q53"/>
    </row>
    <row r="54" spans="1:18">
      <c r="A54" t="str">
        <f t="shared" si="3"/>
        <v>10-03</v>
      </c>
      <c r="B54" t="str">
        <f t="shared" si="4"/>
        <v>USD</v>
      </c>
      <c r="C54" s="138" t="s">
        <v>656</v>
      </c>
      <c r="D54" s="138">
        <v>1231003</v>
      </c>
      <c r="E54" s="138" t="s">
        <v>657</v>
      </c>
      <c r="F54" s="138" t="s">
        <v>658</v>
      </c>
      <c r="G54" s="138" t="s">
        <v>659</v>
      </c>
      <c r="H54" s="138" t="s">
        <v>660</v>
      </c>
      <c r="I54" s="138" t="s">
        <v>772</v>
      </c>
      <c r="J54" s="138" t="s">
        <v>662</v>
      </c>
      <c r="K54" s="138" t="s">
        <v>773</v>
      </c>
      <c r="L54" s="138" t="s">
        <v>499</v>
      </c>
      <c r="M54" s="138" t="s">
        <v>774</v>
      </c>
      <c r="N54" s="138" t="s">
        <v>654</v>
      </c>
      <c r="O54" s="138" t="s">
        <v>655</v>
      </c>
      <c r="P54" s="97"/>
      <c r="Q54"/>
    </row>
    <row r="55" spans="1:18">
      <c r="A55" t="str">
        <f t="shared" si="3"/>
        <v>10-03</v>
      </c>
      <c r="B55" t="str">
        <f t="shared" si="4"/>
        <v>USD</v>
      </c>
      <c r="C55" s="138" t="s">
        <v>656</v>
      </c>
      <c r="D55" s="138">
        <v>1231003</v>
      </c>
      <c r="E55" s="138" t="s">
        <v>657</v>
      </c>
      <c r="F55" s="138" t="s">
        <v>658</v>
      </c>
      <c r="G55" s="138" t="s">
        <v>659</v>
      </c>
      <c r="H55" s="138" t="s">
        <v>660</v>
      </c>
      <c r="I55" s="138" t="s">
        <v>775</v>
      </c>
      <c r="J55" s="138" t="s">
        <v>662</v>
      </c>
      <c r="K55" s="138" t="s">
        <v>776</v>
      </c>
      <c r="L55" s="138" t="s">
        <v>499</v>
      </c>
      <c r="M55" s="138" t="s">
        <v>774</v>
      </c>
      <c r="N55" s="138" t="s">
        <v>654</v>
      </c>
      <c r="O55" s="138" t="s">
        <v>655</v>
      </c>
      <c r="P55" s="97"/>
      <c r="Q55"/>
    </row>
    <row r="56" spans="1:18">
      <c r="A56" t="str">
        <f t="shared" si="3"/>
        <v>10-03</v>
      </c>
      <c r="B56" t="str">
        <f t="shared" si="4"/>
        <v>USD</v>
      </c>
      <c r="C56" s="138" t="s">
        <v>656</v>
      </c>
      <c r="D56" s="138">
        <v>1231003</v>
      </c>
      <c r="E56" s="138" t="s">
        <v>657</v>
      </c>
      <c r="F56" s="138" t="s">
        <v>777</v>
      </c>
      <c r="G56" s="138" t="s">
        <v>778</v>
      </c>
      <c r="H56" s="138" t="s">
        <v>779</v>
      </c>
      <c r="I56" s="138" t="s">
        <v>780</v>
      </c>
      <c r="J56" s="138" t="s">
        <v>662</v>
      </c>
      <c r="K56" s="138" t="s">
        <v>781</v>
      </c>
      <c r="L56" s="138" t="s">
        <v>125</v>
      </c>
      <c r="M56" s="138" t="s">
        <v>782</v>
      </c>
      <c r="N56" s="138" t="s">
        <v>654</v>
      </c>
      <c r="O56" s="138" t="s">
        <v>714</v>
      </c>
      <c r="P56" s="97"/>
      <c r="Q56"/>
    </row>
    <row r="57" spans="1:18">
      <c r="A57" t="str">
        <f t="shared" si="3"/>
        <v>10-03</v>
      </c>
      <c r="B57" t="str">
        <f t="shared" si="4"/>
        <v>USD</v>
      </c>
      <c r="C57" s="138" t="s">
        <v>656</v>
      </c>
      <c r="D57" s="138">
        <v>1231003</v>
      </c>
      <c r="E57" s="138" t="s">
        <v>657</v>
      </c>
      <c r="F57" s="138" t="s">
        <v>777</v>
      </c>
      <c r="G57" s="138" t="s">
        <v>778</v>
      </c>
      <c r="H57" s="138" t="s">
        <v>779</v>
      </c>
      <c r="I57" s="138" t="s">
        <v>783</v>
      </c>
      <c r="J57" s="138" t="s">
        <v>662</v>
      </c>
      <c r="K57" s="138" t="s">
        <v>784</v>
      </c>
      <c r="L57" s="138" t="s">
        <v>125</v>
      </c>
      <c r="M57" s="138" t="s">
        <v>782</v>
      </c>
      <c r="N57" s="138" t="s">
        <v>654</v>
      </c>
      <c r="O57" s="138" t="s">
        <v>714</v>
      </c>
      <c r="P57" s="97"/>
      <c r="Q57"/>
    </row>
    <row r="58" spans="1:18">
      <c r="A58" t="str">
        <f t="shared" si="3"/>
        <v>10-03</v>
      </c>
      <c r="B58" t="str">
        <f t="shared" si="4"/>
        <v>USD</v>
      </c>
      <c r="C58" s="138" t="s">
        <v>656</v>
      </c>
      <c r="D58" s="138">
        <v>1231003</v>
      </c>
      <c r="E58" s="138" t="s">
        <v>657</v>
      </c>
      <c r="F58" s="138" t="s">
        <v>777</v>
      </c>
      <c r="G58" s="138" t="s">
        <v>778</v>
      </c>
      <c r="H58" s="138" t="s">
        <v>779</v>
      </c>
      <c r="I58" s="138" t="s">
        <v>785</v>
      </c>
      <c r="J58" s="138" t="s">
        <v>662</v>
      </c>
      <c r="K58" s="138" t="s">
        <v>786</v>
      </c>
      <c r="L58" s="138" t="s">
        <v>125</v>
      </c>
      <c r="M58" s="138" t="s">
        <v>782</v>
      </c>
      <c r="N58" s="138" t="s">
        <v>654</v>
      </c>
      <c r="O58" s="138" t="s">
        <v>714</v>
      </c>
      <c r="P58" s="97"/>
      <c r="Q58"/>
    </row>
    <row r="59" spans="1:18">
      <c r="A59" t="str">
        <f t="shared" si="3"/>
        <v>10-03</v>
      </c>
      <c r="B59" t="str">
        <f t="shared" si="4"/>
        <v>USD</v>
      </c>
      <c r="C59" s="138" t="s">
        <v>656</v>
      </c>
      <c r="D59" s="138">
        <v>1231003</v>
      </c>
      <c r="E59" s="138" t="s">
        <v>657</v>
      </c>
      <c r="F59" s="138" t="s">
        <v>777</v>
      </c>
      <c r="G59" s="138" t="s">
        <v>778</v>
      </c>
      <c r="H59" s="138" t="s">
        <v>779</v>
      </c>
      <c r="I59" s="138" t="s">
        <v>787</v>
      </c>
      <c r="J59" s="138" t="s">
        <v>662</v>
      </c>
      <c r="K59" s="138" t="s">
        <v>788</v>
      </c>
      <c r="L59" s="138" t="s">
        <v>125</v>
      </c>
      <c r="M59" s="138" t="s">
        <v>782</v>
      </c>
      <c r="N59" s="138" t="s">
        <v>654</v>
      </c>
      <c r="O59" s="138" t="s">
        <v>714</v>
      </c>
      <c r="P59" s="97"/>
      <c r="Q59"/>
    </row>
    <row r="60" spans="1:18">
      <c r="A60" t="str">
        <f t="shared" si="3"/>
        <v>10-03</v>
      </c>
      <c r="B60" t="str">
        <f t="shared" si="4"/>
        <v>USD</v>
      </c>
      <c r="C60" s="138" t="s">
        <v>656</v>
      </c>
      <c r="D60" s="138">
        <v>1231003</v>
      </c>
      <c r="E60" s="138" t="s">
        <v>657</v>
      </c>
      <c r="F60" s="138" t="s">
        <v>777</v>
      </c>
      <c r="G60" s="138" t="s">
        <v>778</v>
      </c>
      <c r="H60" s="138" t="s">
        <v>779</v>
      </c>
      <c r="I60" s="138" t="s">
        <v>789</v>
      </c>
      <c r="J60" s="138" t="s">
        <v>662</v>
      </c>
      <c r="K60" s="138" t="s">
        <v>790</v>
      </c>
      <c r="L60" s="138" t="s">
        <v>125</v>
      </c>
      <c r="M60" s="138" t="s">
        <v>782</v>
      </c>
      <c r="N60" s="138" t="s">
        <v>654</v>
      </c>
      <c r="O60" s="138" t="s">
        <v>714</v>
      </c>
      <c r="P60" s="97"/>
      <c r="Q60"/>
    </row>
    <row r="61" spans="1:18">
      <c r="A61" t="str">
        <f t="shared" si="3"/>
        <v>10-03</v>
      </c>
      <c r="B61" t="str">
        <f t="shared" si="4"/>
        <v>USD</v>
      </c>
      <c r="C61" s="138" t="s">
        <v>656</v>
      </c>
      <c r="D61" s="138">
        <v>1231003</v>
      </c>
      <c r="E61" s="138" t="s">
        <v>657</v>
      </c>
      <c r="F61" s="138" t="s">
        <v>777</v>
      </c>
      <c r="G61" s="138" t="s">
        <v>778</v>
      </c>
      <c r="H61" s="138" t="s">
        <v>779</v>
      </c>
      <c r="I61" s="138" t="s">
        <v>791</v>
      </c>
      <c r="J61" s="138" t="s">
        <v>662</v>
      </c>
      <c r="K61" s="138" t="s">
        <v>792</v>
      </c>
      <c r="L61" s="138" t="s">
        <v>125</v>
      </c>
      <c r="M61" s="138" t="s">
        <v>782</v>
      </c>
      <c r="N61" s="138" t="s">
        <v>654</v>
      </c>
      <c r="O61" s="138" t="s">
        <v>714</v>
      </c>
      <c r="P61" s="97"/>
      <c r="Q61"/>
    </row>
    <row r="62" spans="1:18">
      <c r="A62" t="str">
        <f t="shared" si="3"/>
        <v>10-04</v>
      </c>
      <c r="B62" t="str">
        <f t="shared" si="4"/>
        <v>USD</v>
      </c>
      <c r="C62" s="141" t="s">
        <v>656</v>
      </c>
      <c r="D62" s="141">
        <v>1231004</v>
      </c>
      <c r="E62" s="141" t="s">
        <v>707</v>
      </c>
      <c r="F62" s="141" t="s">
        <v>800</v>
      </c>
      <c r="G62" s="141" t="s">
        <v>801</v>
      </c>
      <c r="H62" s="141" t="s">
        <v>660</v>
      </c>
      <c r="I62" s="141" t="s">
        <v>802</v>
      </c>
      <c r="J62" s="141" t="s">
        <v>662</v>
      </c>
      <c r="K62" s="141" t="s">
        <v>803</v>
      </c>
      <c r="L62" s="141" t="s">
        <v>76</v>
      </c>
      <c r="M62" s="141" t="s">
        <v>804</v>
      </c>
      <c r="N62" s="141" t="s">
        <v>654</v>
      </c>
      <c r="O62" s="141" t="s">
        <v>655</v>
      </c>
      <c r="P62" s="97"/>
      <c r="Q62"/>
    </row>
    <row r="63" spans="1:18">
      <c r="A63" t="str">
        <f t="shared" si="3"/>
        <v>10-04</v>
      </c>
      <c r="B63" t="str">
        <f t="shared" si="4"/>
        <v>USD</v>
      </c>
      <c r="C63" s="141" t="s">
        <v>656</v>
      </c>
      <c r="D63" s="141">
        <v>1231004</v>
      </c>
      <c r="E63" s="141" t="s">
        <v>707</v>
      </c>
      <c r="F63" s="141" t="s">
        <v>800</v>
      </c>
      <c r="G63" s="141" t="s">
        <v>801</v>
      </c>
      <c r="H63" s="141" t="s">
        <v>660</v>
      </c>
      <c r="I63" s="141" t="s">
        <v>805</v>
      </c>
      <c r="J63" s="141" t="s">
        <v>662</v>
      </c>
      <c r="K63" s="141" t="s">
        <v>806</v>
      </c>
      <c r="L63" s="141" t="s">
        <v>76</v>
      </c>
      <c r="M63" s="141" t="s">
        <v>804</v>
      </c>
      <c r="N63" s="141" t="s">
        <v>654</v>
      </c>
      <c r="O63" s="141" t="s">
        <v>655</v>
      </c>
      <c r="P63" s="97"/>
      <c r="Q63"/>
    </row>
    <row r="64" spans="1:18">
      <c r="A64" t="str">
        <f t="shared" si="3"/>
        <v>10-04</v>
      </c>
      <c r="B64" t="str">
        <f t="shared" si="4"/>
        <v>USD</v>
      </c>
      <c r="C64" s="141" t="s">
        <v>656</v>
      </c>
      <c r="D64" s="141">
        <v>1231004</v>
      </c>
      <c r="E64" s="141" t="s">
        <v>707</v>
      </c>
      <c r="F64" s="141" t="s">
        <v>800</v>
      </c>
      <c r="G64" s="141" t="s">
        <v>801</v>
      </c>
      <c r="H64" s="141" t="s">
        <v>660</v>
      </c>
      <c r="I64" s="141" t="s">
        <v>807</v>
      </c>
      <c r="J64" s="141" t="s">
        <v>662</v>
      </c>
      <c r="K64" s="141" t="s">
        <v>808</v>
      </c>
      <c r="L64" s="141" t="s">
        <v>76</v>
      </c>
      <c r="M64" s="141" t="s">
        <v>804</v>
      </c>
      <c r="N64" s="141" t="s">
        <v>654</v>
      </c>
      <c r="O64" s="141" t="s">
        <v>655</v>
      </c>
      <c r="P64" s="97"/>
      <c r="Q64"/>
    </row>
    <row r="65" spans="1:17">
      <c r="A65" t="str">
        <f t="shared" si="3"/>
        <v>10-04</v>
      </c>
      <c r="B65" t="str">
        <f t="shared" si="4"/>
        <v>USD</v>
      </c>
      <c r="C65" s="141" t="s">
        <v>656</v>
      </c>
      <c r="D65" s="141">
        <v>1231004</v>
      </c>
      <c r="E65" s="141" t="s">
        <v>707</v>
      </c>
      <c r="F65" s="141" t="s">
        <v>800</v>
      </c>
      <c r="G65" s="141" t="s">
        <v>801</v>
      </c>
      <c r="H65" s="141" t="s">
        <v>660</v>
      </c>
      <c r="I65" s="141" t="s">
        <v>809</v>
      </c>
      <c r="J65" s="141" t="s">
        <v>662</v>
      </c>
      <c r="K65" s="141" t="s">
        <v>810</v>
      </c>
      <c r="L65" s="141" t="s">
        <v>76</v>
      </c>
      <c r="M65" s="141" t="s">
        <v>804</v>
      </c>
      <c r="N65" s="141" t="s">
        <v>654</v>
      </c>
      <c r="O65" s="141" t="s">
        <v>655</v>
      </c>
      <c r="P65" s="97"/>
      <c r="Q65"/>
    </row>
    <row r="66" spans="1:17">
      <c r="A66" t="str">
        <f t="shared" si="3"/>
        <v>10-04</v>
      </c>
      <c r="B66" t="str">
        <f t="shared" si="4"/>
        <v>USD</v>
      </c>
      <c r="C66" s="141" t="s">
        <v>656</v>
      </c>
      <c r="D66" s="141">
        <v>1231004</v>
      </c>
      <c r="E66" s="141" t="s">
        <v>707</v>
      </c>
      <c r="F66" s="141" t="s">
        <v>811</v>
      </c>
      <c r="G66" s="141" t="s">
        <v>812</v>
      </c>
      <c r="H66" s="141" t="s">
        <v>813</v>
      </c>
      <c r="I66" s="141" t="s">
        <v>814</v>
      </c>
      <c r="J66" s="141" t="s">
        <v>662</v>
      </c>
      <c r="K66" s="141" t="s">
        <v>815</v>
      </c>
      <c r="L66" s="141" t="s">
        <v>61</v>
      </c>
      <c r="M66" s="141" t="s">
        <v>816</v>
      </c>
      <c r="N66" s="141" t="s">
        <v>654</v>
      </c>
      <c r="O66" s="141" t="s">
        <v>799</v>
      </c>
      <c r="P66" s="97"/>
      <c r="Q66"/>
    </row>
    <row r="67" spans="1:17">
      <c r="A67" t="str">
        <f t="shared" si="3"/>
        <v>10-04</v>
      </c>
      <c r="B67" t="str">
        <f t="shared" si="4"/>
        <v>USD</v>
      </c>
      <c r="C67" s="141" t="s">
        <v>656</v>
      </c>
      <c r="D67" s="141">
        <v>1231004</v>
      </c>
      <c r="E67" s="141" t="s">
        <v>707</v>
      </c>
      <c r="F67" s="141" t="s">
        <v>811</v>
      </c>
      <c r="G67" s="141" t="s">
        <v>812</v>
      </c>
      <c r="H67" s="141" t="s">
        <v>813</v>
      </c>
      <c r="I67" s="141" t="s">
        <v>817</v>
      </c>
      <c r="J67" s="141" t="s">
        <v>662</v>
      </c>
      <c r="K67" s="141" t="s">
        <v>818</v>
      </c>
      <c r="L67" s="141" t="s">
        <v>61</v>
      </c>
      <c r="M67" s="141" t="s">
        <v>816</v>
      </c>
      <c r="N67" s="141" t="s">
        <v>654</v>
      </c>
      <c r="O67" s="141" t="s">
        <v>799</v>
      </c>
      <c r="P67" s="97"/>
      <c r="Q67"/>
    </row>
    <row r="68" spans="1:17">
      <c r="A68" t="str">
        <f t="shared" ref="A68:A90" si="7">MID(D68,(LEN(D68)-3),2)&amp;"-"&amp;MID(D68,(LEN(D68)-1),2)</f>
        <v>10-05</v>
      </c>
      <c r="B68" t="str">
        <f t="shared" ref="B68:B90" si="8">IF(H68="AU","AUD","USD")</f>
        <v>USD</v>
      </c>
      <c r="C68" s="141" t="s">
        <v>656</v>
      </c>
      <c r="D68" s="141">
        <v>1231005</v>
      </c>
      <c r="E68" s="141" t="s">
        <v>657</v>
      </c>
      <c r="F68" s="141" t="s">
        <v>824</v>
      </c>
      <c r="G68" s="141" t="s">
        <v>825</v>
      </c>
      <c r="H68" s="141" t="s">
        <v>813</v>
      </c>
      <c r="I68" s="141" t="s">
        <v>826</v>
      </c>
      <c r="J68" s="141" t="s">
        <v>662</v>
      </c>
      <c r="K68" s="141" t="s">
        <v>827</v>
      </c>
      <c r="L68" s="141" t="s">
        <v>80</v>
      </c>
      <c r="M68" s="141" t="s">
        <v>828</v>
      </c>
      <c r="N68" s="141" t="s">
        <v>654</v>
      </c>
      <c r="O68" s="141" t="s">
        <v>655</v>
      </c>
      <c r="P68" s="97"/>
      <c r="Q68"/>
    </row>
    <row r="69" spans="1:17">
      <c r="A69" t="str">
        <f t="shared" si="7"/>
        <v>10-05</v>
      </c>
      <c r="B69" t="str">
        <f t="shared" si="8"/>
        <v>USD</v>
      </c>
      <c r="C69" s="141" t="s">
        <v>656</v>
      </c>
      <c r="D69" s="141">
        <v>1231005</v>
      </c>
      <c r="E69" s="141" t="s">
        <v>657</v>
      </c>
      <c r="F69" s="141" t="s">
        <v>824</v>
      </c>
      <c r="G69" s="141" t="s">
        <v>825</v>
      </c>
      <c r="H69" s="141" t="s">
        <v>813</v>
      </c>
      <c r="I69" s="141" t="s">
        <v>829</v>
      </c>
      <c r="J69" s="141" t="s">
        <v>662</v>
      </c>
      <c r="K69" s="141" t="s">
        <v>830</v>
      </c>
      <c r="L69" s="141" t="s">
        <v>80</v>
      </c>
      <c r="M69" s="141" t="s">
        <v>828</v>
      </c>
      <c r="N69" s="141" t="s">
        <v>654</v>
      </c>
      <c r="O69" s="141" t="s">
        <v>655</v>
      </c>
      <c r="P69" s="97"/>
      <c r="Q69"/>
    </row>
    <row r="70" spans="1:17">
      <c r="A70" t="str">
        <f t="shared" si="7"/>
        <v>10-05</v>
      </c>
      <c r="B70" t="str">
        <f t="shared" si="8"/>
        <v>USD</v>
      </c>
      <c r="C70" s="141" t="s">
        <v>656</v>
      </c>
      <c r="D70" s="141">
        <v>1231005</v>
      </c>
      <c r="E70" s="141" t="s">
        <v>657</v>
      </c>
      <c r="F70" s="141" t="s">
        <v>824</v>
      </c>
      <c r="G70" s="141" t="s">
        <v>825</v>
      </c>
      <c r="H70" s="141" t="s">
        <v>813</v>
      </c>
      <c r="I70" s="141" t="s">
        <v>831</v>
      </c>
      <c r="J70" s="141" t="s">
        <v>662</v>
      </c>
      <c r="K70" s="141" t="s">
        <v>832</v>
      </c>
      <c r="L70" s="141" t="s">
        <v>80</v>
      </c>
      <c r="M70" s="141" t="s">
        <v>828</v>
      </c>
      <c r="N70" s="141" t="s">
        <v>654</v>
      </c>
      <c r="O70" s="141" t="s">
        <v>655</v>
      </c>
      <c r="P70" s="97"/>
      <c r="Q70"/>
    </row>
    <row r="71" spans="1:17">
      <c r="A71" t="str">
        <f t="shared" si="7"/>
        <v>10-06</v>
      </c>
      <c r="B71" t="str">
        <f t="shared" si="8"/>
        <v>USD</v>
      </c>
      <c r="C71" s="141" t="s">
        <v>656</v>
      </c>
      <c r="D71" s="141">
        <v>1231006</v>
      </c>
      <c r="E71" s="141" t="s">
        <v>657</v>
      </c>
      <c r="F71" s="141" t="s">
        <v>824</v>
      </c>
      <c r="G71" s="141" t="s">
        <v>825</v>
      </c>
      <c r="H71" s="141" t="s">
        <v>813</v>
      </c>
      <c r="I71" s="141" t="s">
        <v>833</v>
      </c>
      <c r="J71" s="141" t="s">
        <v>662</v>
      </c>
      <c r="K71" s="141" t="s">
        <v>834</v>
      </c>
      <c r="L71" s="141" t="s">
        <v>245</v>
      </c>
      <c r="M71" s="141" t="s">
        <v>835</v>
      </c>
      <c r="N71" s="141" t="s">
        <v>654</v>
      </c>
      <c r="O71" s="141" t="s">
        <v>714</v>
      </c>
      <c r="P71" s="97"/>
      <c r="Q71"/>
    </row>
    <row r="72" spans="1:17">
      <c r="A72" t="str">
        <f t="shared" si="7"/>
        <v>10-06</v>
      </c>
      <c r="B72" t="str">
        <f t="shared" si="8"/>
        <v>USD</v>
      </c>
      <c r="C72" s="138" t="s">
        <v>656</v>
      </c>
      <c r="D72" s="138">
        <v>1231006</v>
      </c>
      <c r="E72" s="138" t="s">
        <v>657</v>
      </c>
      <c r="F72" s="138" t="s">
        <v>824</v>
      </c>
      <c r="G72" s="138" t="s">
        <v>825</v>
      </c>
      <c r="H72" s="138" t="s">
        <v>813</v>
      </c>
      <c r="I72" s="138" t="s">
        <v>856</v>
      </c>
      <c r="J72" s="138" t="s">
        <v>662</v>
      </c>
      <c r="K72" s="138" t="s">
        <v>857</v>
      </c>
      <c r="L72" s="138" t="s">
        <v>245</v>
      </c>
      <c r="M72" s="138" t="s">
        <v>835</v>
      </c>
      <c r="N72" s="138" t="s">
        <v>654</v>
      </c>
      <c r="O72" s="138" t="s">
        <v>714</v>
      </c>
      <c r="P72" s="97"/>
      <c r="Q72"/>
    </row>
    <row r="73" spans="1:17">
      <c r="A73" t="str">
        <f t="shared" si="7"/>
        <v>10-06</v>
      </c>
      <c r="B73" t="str">
        <f t="shared" si="8"/>
        <v>USD</v>
      </c>
      <c r="C73" s="138" t="s">
        <v>656</v>
      </c>
      <c r="D73" s="138">
        <v>1231006</v>
      </c>
      <c r="E73" s="138" t="s">
        <v>657</v>
      </c>
      <c r="F73" s="138" t="s">
        <v>824</v>
      </c>
      <c r="G73" s="138" t="s">
        <v>825</v>
      </c>
      <c r="H73" s="138" t="s">
        <v>813</v>
      </c>
      <c r="I73" s="138" t="s">
        <v>860</v>
      </c>
      <c r="J73" s="138" t="s">
        <v>662</v>
      </c>
      <c r="K73" s="138" t="s">
        <v>861</v>
      </c>
      <c r="L73" s="138" t="s">
        <v>245</v>
      </c>
      <c r="M73" s="138" t="s">
        <v>835</v>
      </c>
      <c r="N73" s="138" t="s">
        <v>654</v>
      </c>
      <c r="O73" s="138" t="s">
        <v>714</v>
      </c>
      <c r="P73" s="97"/>
      <c r="Q73"/>
    </row>
    <row r="74" spans="1:17">
      <c r="A74" t="str">
        <f t="shared" si="7"/>
        <v>10-06</v>
      </c>
      <c r="B74" t="str">
        <f t="shared" si="8"/>
        <v>USD</v>
      </c>
      <c r="C74" s="138" t="s">
        <v>656</v>
      </c>
      <c r="D74" s="138">
        <v>1231006</v>
      </c>
      <c r="E74" s="138" t="s">
        <v>657</v>
      </c>
      <c r="F74" s="138" t="s">
        <v>824</v>
      </c>
      <c r="G74" s="138" t="s">
        <v>825</v>
      </c>
      <c r="H74" s="138" t="s">
        <v>813</v>
      </c>
      <c r="I74" s="138" t="s">
        <v>862</v>
      </c>
      <c r="J74" s="138" t="s">
        <v>662</v>
      </c>
      <c r="K74" s="138" t="s">
        <v>863</v>
      </c>
      <c r="L74" s="138" t="s">
        <v>245</v>
      </c>
      <c r="M74" s="138" t="s">
        <v>835</v>
      </c>
      <c r="N74" s="138" t="s">
        <v>654</v>
      </c>
      <c r="O74" s="138" t="s">
        <v>714</v>
      </c>
      <c r="P74" s="97"/>
      <c r="Q74"/>
    </row>
    <row r="75" spans="1:17">
      <c r="A75" t="str">
        <f t="shared" si="7"/>
        <v>10-06</v>
      </c>
      <c r="B75" t="str">
        <f t="shared" si="8"/>
        <v>USD</v>
      </c>
      <c r="C75" s="138" t="s">
        <v>656</v>
      </c>
      <c r="D75" s="138">
        <v>1231006</v>
      </c>
      <c r="E75" s="138" t="s">
        <v>657</v>
      </c>
      <c r="F75" s="138" t="s">
        <v>824</v>
      </c>
      <c r="G75" s="138" t="s">
        <v>825</v>
      </c>
      <c r="H75" s="138" t="s">
        <v>813</v>
      </c>
      <c r="I75" s="138" t="s">
        <v>864</v>
      </c>
      <c r="J75" s="138" t="s">
        <v>662</v>
      </c>
      <c r="K75" s="138" t="s">
        <v>865</v>
      </c>
      <c r="L75" s="138" t="s">
        <v>245</v>
      </c>
      <c r="M75" s="138" t="s">
        <v>835</v>
      </c>
      <c r="N75" s="138" t="s">
        <v>654</v>
      </c>
      <c r="O75" s="138" t="s">
        <v>714</v>
      </c>
      <c r="P75" s="97"/>
      <c r="Q75"/>
    </row>
    <row r="76" spans="1:17">
      <c r="A76" t="str">
        <f t="shared" si="7"/>
        <v>10-06</v>
      </c>
      <c r="B76" t="str">
        <f t="shared" si="8"/>
        <v>USD</v>
      </c>
      <c r="C76" s="138" t="s">
        <v>656</v>
      </c>
      <c r="D76" s="138">
        <v>1231006</v>
      </c>
      <c r="E76" s="138" t="s">
        <v>657</v>
      </c>
      <c r="F76" s="138" t="s">
        <v>824</v>
      </c>
      <c r="G76" s="138" t="s">
        <v>825</v>
      </c>
      <c r="H76" s="138" t="s">
        <v>813</v>
      </c>
      <c r="I76" s="138" t="s">
        <v>866</v>
      </c>
      <c r="J76" s="138" t="s">
        <v>662</v>
      </c>
      <c r="K76" s="138" t="s">
        <v>867</v>
      </c>
      <c r="L76" s="138" t="s">
        <v>245</v>
      </c>
      <c r="M76" s="138" t="s">
        <v>835</v>
      </c>
      <c r="N76" s="138" t="s">
        <v>654</v>
      </c>
      <c r="O76" s="138" t="s">
        <v>714</v>
      </c>
      <c r="P76" s="97"/>
      <c r="Q76"/>
    </row>
    <row r="77" spans="1:17">
      <c r="A77" t="str">
        <f t="shared" si="7"/>
        <v>10-06</v>
      </c>
      <c r="B77" t="str">
        <f t="shared" si="8"/>
        <v>USD</v>
      </c>
      <c r="C77" s="138" t="s">
        <v>656</v>
      </c>
      <c r="D77" s="138">
        <v>1231006</v>
      </c>
      <c r="E77" s="138" t="s">
        <v>657</v>
      </c>
      <c r="F77" s="138" t="s">
        <v>824</v>
      </c>
      <c r="G77" s="138" t="s">
        <v>825</v>
      </c>
      <c r="H77" s="138" t="s">
        <v>813</v>
      </c>
      <c r="I77" s="138" t="s">
        <v>868</v>
      </c>
      <c r="J77" s="138" t="s">
        <v>662</v>
      </c>
      <c r="K77" s="138" t="s">
        <v>869</v>
      </c>
      <c r="L77" s="138" t="s">
        <v>245</v>
      </c>
      <c r="M77" s="138" t="s">
        <v>835</v>
      </c>
      <c r="N77" s="138" t="s">
        <v>654</v>
      </c>
      <c r="O77" s="138" t="s">
        <v>714</v>
      </c>
      <c r="P77" s="97"/>
      <c r="Q77"/>
    </row>
    <row r="78" spans="1:17">
      <c r="A78" t="str">
        <f t="shared" si="7"/>
        <v>10-06</v>
      </c>
      <c r="B78" t="str">
        <f t="shared" si="8"/>
        <v>USD</v>
      </c>
      <c r="C78" s="138" t="s">
        <v>656</v>
      </c>
      <c r="D78" s="138">
        <v>1231006</v>
      </c>
      <c r="E78" s="138" t="s">
        <v>657</v>
      </c>
      <c r="F78" s="138" t="s">
        <v>824</v>
      </c>
      <c r="G78" s="138" t="s">
        <v>825</v>
      </c>
      <c r="H78" s="138" t="s">
        <v>813</v>
      </c>
      <c r="I78" s="138" t="s">
        <v>870</v>
      </c>
      <c r="J78" s="138" t="s">
        <v>662</v>
      </c>
      <c r="K78" s="138" t="s">
        <v>871</v>
      </c>
      <c r="L78" s="138" t="s">
        <v>245</v>
      </c>
      <c r="M78" s="138" t="s">
        <v>835</v>
      </c>
      <c r="N78" s="138" t="s">
        <v>654</v>
      </c>
      <c r="O78" s="138" t="s">
        <v>714</v>
      </c>
      <c r="P78" s="97"/>
      <c r="Q78"/>
    </row>
    <row r="79" spans="1:17">
      <c r="A79" t="str">
        <f t="shared" si="7"/>
        <v>10-06</v>
      </c>
      <c r="B79" t="str">
        <f t="shared" si="8"/>
        <v>USD</v>
      </c>
      <c r="C79" s="138" t="s">
        <v>656</v>
      </c>
      <c r="D79" s="138">
        <v>1231006</v>
      </c>
      <c r="E79" s="138" t="s">
        <v>657</v>
      </c>
      <c r="F79" s="138" t="s">
        <v>824</v>
      </c>
      <c r="G79" s="138" t="s">
        <v>825</v>
      </c>
      <c r="H79" s="138" t="s">
        <v>813</v>
      </c>
      <c r="I79" s="138" t="s">
        <v>872</v>
      </c>
      <c r="J79" s="138" t="s">
        <v>662</v>
      </c>
      <c r="K79" s="138" t="s">
        <v>873</v>
      </c>
      <c r="L79" s="138" t="s">
        <v>245</v>
      </c>
      <c r="M79" s="138" t="s">
        <v>835</v>
      </c>
      <c r="N79" s="138" t="s">
        <v>654</v>
      </c>
      <c r="O79" s="138" t="s">
        <v>714</v>
      </c>
      <c r="P79" s="97"/>
      <c r="Q79"/>
    </row>
    <row r="80" spans="1:17">
      <c r="A80" t="str">
        <f t="shared" si="7"/>
        <v>10-06</v>
      </c>
      <c r="B80" t="str">
        <f t="shared" si="8"/>
        <v>USD</v>
      </c>
      <c r="C80" s="138" t="s">
        <v>656</v>
      </c>
      <c r="D80" s="138">
        <v>1231006</v>
      </c>
      <c r="E80" s="138" t="s">
        <v>657</v>
      </c>
      <c r="F80" s="138" t="s">
        <v>824</v>
      </c>
      <c r="G80" s="138" t="s">
        <v>825</v>
      </c>
      <c r="H80" s="138" t="s">
        <v>813</v>
      </c>
      <c r="I80" s="138" t="s">
        <v>836</v>
      </c>
      <c r="J80" s="138" t="s">
        <v>662</v>
      </c>
      <c r="K80" s="138" t="s">
        <v>837</v>
      </c>
      <c r="L80" s="138" t="s">
        <v>245</v>
      </c>
      <c r="M80" s="138" t="s">
        <v>835</v>
      </c>
      <c r="N80" s="138" t="s">
        <v>654</v>
      </c>
      <c r="O80" s="138" t="s">
        <v>714</v>
      </c>
      <c r="P80" s="97"/>
      <c r="Q80"/>
    </row>
    <row r="81" spans="1:19">
      <c r="A81" t="str">
        <f t="shared" si="7"/>
        <v>10-06</v>
      </c>
      <c r="B81" t="str">
        <f t="shared" si="8"/>
        <v>USD</v>
      </c>
      <c r="C81" s="141" t="s">
        <v>656</v>
      </c>
      <c r="D81" s="141">
        <v>1231006</v>
      </c>
      <c r="E81" s="141" t="s">
        <v>657</v>
      </c>
      <c r="F81" s="141" t="s">
        <v>824</v>
      </c>
      <c r="G81" s="141" t="s">
        <v>825</v>
      </c>
      <c r="H81" s="141" t="s">
        <v>813</v>
      </c>
      <c r="I81" s="141" t="s">
        <v>838</v>
      </c>
      <c r="J81" s="141" t="s">
        <v>662</v>
      </c>
      <c r="K81" s="141" t="s">
        <v>839</v>
      </c>
      <c r="L81" s="141" t="s">
        <v>245</v>
      </c>
      <c r="M81" s="141" t="s">
        <v>835</v>
      </c>
      <c r="N81" s="141" t="s">
        <v>654</v>
      </c>
      <c r="O81" s="141" t="s">
        <v>714</v>
      </c>
      <c r="P81" s="97"/>
      <c r="Q81"/>
    </row>
    <row r="82" spans="1:19">
      <c r="A82" t="str">
        <f t="shared" si="7"/>
        <v>10-06</v>
      </c>
      <c r="B82" t="str">
        <f t="shared" si="8"/>
        <v>USD</v>
      </c>
      <c r="C82" s="138" t="s">
        <v>656</v>
      </c>
      <c r="D82" s="138">
        <v>1231006</v>
      </c>
      <c r="E82" s="138" t="s">
        <v>657</v>
      </c>
      <c r="F82" s="138" t="s">
        <v>824</v>
      </c>
      <c r="G82" s="138" t="s">
        <v>825</v>
      </c>
      <c r="H82" s="138" t="s">
        <v>813</v>
      </c>
      <c r="I82" s="138" t="s">
        <v>840</v>
      </c>
      <c r="J82" s="138" t="s">
        <v>662</v>
      </c>
      <c r="K82" s="138" t="s">
        <v>841</v>
      </c>
      <c r="L82" s="138" t="s">
        <v>245</v>
      </c>
      <c r="M82" s="138" t="s">
        <v>835</v>
      </c>
      <c r="N82" s="138" t="s">
        <v>654</v>
      </c>
      <c r="O82" s="138" t="s">
        <v>714</v>
      </c>
      <c r="P82" s="97"/>
      <c r="Q82"/>
    </row>
    <row r="83" spans="1:19">
      <c r="A83" t="str">
        <f t="shared" si="7"/>
        <v>10-06</v>
      </c>
      <c r="B83" t="str">
        <f t="shared" si="8"/>
        <v>USD</v>
      </c>
      <c r="C83" s="138" t="s">
        <v>656</v>
      </c>
      <c r="D83" s="138">
        <v>1231006</v>
      </c>
      <c r="E83" s="138" t="s">
        <v>657</v>
      </c>
      <c r="F83" s="138" t="s">
        <v>824</v>
      </c>
      <c r="G83" s="138" t="s">
        <v>825</v>
      </c>
      <c r="H83" s="138" t="s">
        <v>813</v>
      </c>
      <c r="I83" s="138" t="s">
        <v>842</v>
      </c>
      <c r="J83" s="138" t="s">
        <v>662</v>
      </c>
      <c r="K83" s="138" t="s">
        <v>843</v>
      </c>
      <c r="L83" s="138" t="s">
        <v>245</v>
      </c>
      <c r="M83" s="138" t="s">
        <v>835</v>
      </c>
      <c r="N83" s="138" t="s">
        <v>654</v>
      </c>
      <c r="O83" s="138" t="s">
        <v>714</v>
      </c>
      <c r="P83" s="97"/>
      <c r="Q83"/>
    </row>
    <row r="84" spans="1:19">
      <c r="A84" t="str">
        <f t="shared" si="7"/>
        <v>10-06</v>
      </c>
      <c r="B84" t="str">
        <f t="shared" si="8"/>
        <v>USD</v>
      </c>
      <c r="C84" s="138" t="s">
        <v>656</v>
      </c>
      <c r="D84" s="138">
        <v>1231006</v>
      </c>
      <c r="E84" s="138" t="s">
        <v>657</v>
      </c>
      <c r="F84" s="138" t="s">
        <v>824</v>
      </c>
      <c r="G84" s="138" t="s">
        <v>825</v>
      </c>
      <c r="H84" s="138" t="s">
        <v>813</v>
      </c>
      <c r="I84" s="138" t="s">
        <v>844</v>
      </c>
      <c r="J84" s="138" t="s">
        <v>662</v>
      </c>
      <c r="K84" s="138" t="s">
        <v>845</v>
      </c>
      <c r="L84" s="138" t="s">
        <v>245</v>
      </c>
      <c r="M84" s="138" t="s">
        <v>835</v>
      </c>
      <c r="N84" s="138" t="s">
        <v>654</v>
      </c>
      <c r="O84" s="138" t="s">
        <v>714</v>
      </c>
      <c r="P84" s="97"/>
      <c r="Q84"/>
    </row>
    <row r="85" spans="1:19">
      <c r="A85" t="str">
        <f t="shared" si="7"/>
        <v>10-06</v>
      </c>
      <c r="B85" t="str">
        <f t="shared" si="8"/>
        <v>USD</v>
      </c>
      <c r="C85" s="138" t="s">
        <v>656</v>
      </c>
      <c r="D85" s="138">
        <v>1231006</v>
      </c>
      <c r="E85" s="138" t="s">
        <v>657</v>
      </c>
      <c r="F85" s="138" t="s">
        <v>824</v>
      </c>
      <c r="G85" s="138" t="s">
        <v>825</v>
      </c>
      <c r="H85" s="138" t="s">
        <v>813</v>
      </c>
      <c r="I85" s="138" t="s">
        <v>846</v>
      </c>
      <c r="J85" s="138" t="s">
        <v>662</v>
      </c>
      <c r="K85" s="138" t="s">
        <v>847</v>
      </c>
      <c r="L85" s="138" t="s">
        <v>245</v>
      </c>
      <c r="M85" s="138" t="s">
        <v>835</v>
      </c>
      <c r="N85" s="138" t="s">
        <v>654</v>
      </c>
      <c r="O85" s="138" t="s">
        <v>714</v>
      </c>
      <c r="P85" s="97"/>
      <c r="Q85"/>
    </row>
    <row r="86" spans="1:19">
      <c r="A86" t="str">
        <f t="shared" si="7"/>
        <v>10-06</v>
      </c>
      <c r="B86" t="str">
        <f t="shared" si="8"/>
        <v>USD</v>
      </c>
      <c r="C86" s="138" t="s">
        <v>656</v>
      </c>
      <c r="D86" s="138">
        <v>1231006</v>
      </c>
      <c r="E86" s="138" t="s">
        <v>657</v>
      </c>
      <c r="F86" s="138" t="s">
        <v>824</v>
      </c>
      <c r="G86" s="138" t="s">
        <v>825</v>
      </c>
      <c r="H86" s="138" t="s">
        <v>813</v>
      </c>
      <c r="I86" s="138" t="s">
        <v>848</v>
      </c>
      <c r="J86" s="138" t="s">
        <v>662</v>
      </c>
      <c r="K86" s="138" t="s">
        <v>849</v>
      </c>
      <c r="L86" s="138" t="s">
        <v>245</v>
      </c>
      <c r="M86" s="138" t="s">
        <v>835</v>
      </c>
      <c r="N86" s="138" t="s">
        <v>654</v>
      </c>
      <c r="O86" s="138" t="s">
        <v>714</v>
      </c>
      <c r="P86" s="97"/>
      <c r="Q86"/>
    </row>
    <row r="87" spans="1:19">
      <c r="A87" t="str">
        <f t="shared" si="7"/>
        <v>10-06</v>
      </c>
      <c r="B87" t="str">
        <f t="shared" si="8"/>
        <v>USD</v>
      </c>
      <c r="C87" s="138" t="s">
        <v>656</v>
      </c>
      <c r="D87" s="138">
        <v>1231006</v>
      </c>
      <c r="E87" s="138" t="s">
        <v>657</v>
      </c>
      <c r="F87" s="138" t="s">
        <v>824</v>
      </c>
      <c r="G87" s="138" t="s">
        <v>825</v>
      </c>
      <c r="H87" s="138" t="s">
        <v>813</v>
      </c>
      <c r="I87" s="138" t="s">
        <v>850</v>
      </c>
      <c r="J87" s="138" t="s">
        <v>662</v>
      </c>
      <c r="K87" s="138" t="s">
        <v>851</v>
      </c>
      <c r="L87" s="138" t="s">
        <v>245</v>
      </c>
      <c r="M87" s="138" t="s">
        <v>835</v>
      </c>
      <c r="N87" s="138" t="s">
        <v>654</v>
      </c>
      <c r="O87" s="138" t="s">
        <v>714</v>
      </c>
      <c r="P87" s="97"/>
      <c r="Q87"/>
    </row>
    <row r="88" spans="1:19">
      <c r="A88" t="str">
        <f t="shared" si="7"/>
        <v>10-06</v>
      </c>
      <c r="B88" t="str">
        <f t="shared" si="8"/>
        <v>USD</v>
      </c>
      <c r="C88" s="138" t="s">
        <v>656</v>
      </c>
      <c r="D88" s="138">
        <v>1231006</v>
      </c>
      <c r="E88" s="138" t="s">
        <v>657</v>
      </c>
      <c r="F88" s="138" t="s">
        <v>824</v>
      </c>
      <c r="G88" s="138" t="s">
        <v>825</v>
      </c>
      <c r="H88" s="138" t="s">
        <v>813</v>
      </c>
      <c r="I88" s="138" t="s">
        <v>852</v>
      </c>
      <c r="J88" s="138" t="s">
        <v>662</v>
      </c>
      <c r="K88" s="138" t="s">
        <v>853</v>
      </c>
      <c r="L88" s="138" t="s">
        <v>245</v>
      </c>
      <c r="M88" s="138" t="s">
        <v>835</v>
      </c>
      <c r="N88" s="138" t="s">
        <v>654</v>
      </c>
      <c r="O88" s="138" t="s">
        <v>714</v>
      </c>
      <c r="P88"/>
      <c r="Q88"/>
    </row>
    <row r="89" spans="1:19">
      <c r="A89" t="str">
        <f t="shared" si="7"/>
        <v>10-06</v>
      </c>
      <c r="B89" t="str">
        <f t="shared" si="8"/>
        <v>USD</v>
      </c>
      <c r="C89" s="138" t="s">
        <v>656</v>
      </c>
      <c r="D89" s="138">
        <v>1231006</v>
      </c>
      <c r="E89" s="138" t="s">
        <v>657</v>
      </c>
      <c r="F89" s="138" t="s">
        <v>824</v>
      </c>
      <c r="G89" s="138" t="s">
        <v>825</v>
      </c>
      <c r="H89" s="138" t="s">
        <v>813</v>
      </c>
      <c r="I89" s="138" t="s">
        <v>854</v>
      </c>
      <c r="J89" s="138" t="s">
        <v>662</v>
      </c>
      <c r="K89" s="138" t="s">
        <v>855</v>
      </c>
      <c r="L89" s="138" t="s">
        <v>245</v>
      </c>
      <c r="M89" s="138" t="s">
        <v>835</v>
      </c>
      <c r="N89" s="138" t="s">
        <v>654</v>
      </c>
      <c r="O89" s="138" t="s">
        <v>714</v>
      </c>
      <c r="P89"/>
      <c r="Q89"/>
    </row>
    <row r="90" spans="1:19">
      <c r="A90" t="str">
        <f t="shared" si="7"/>
        <v>10-06</v>
      </c>
      <c r="B90" t="str">
        <f t="shared" si="8"/>
        <v>USD</v>
      </c>
      <c r="C90" s="138" t="s">
        <v>656</v>
      </c>
      <c r="D90" s="138">
        <v>1231006</v>
      </c>
      <c r="E90" s="138" t="s">
        <v>657</v>
      </c>
      <c r="F90" s="138" t="s">
        <v>824</v>
      </c>
      <c r="G90" s="138" t="s">
        <v>825</v>
      </c>
      <c r="H90" s="138" t="s">
        <v>813</v>
      </c>
      <c r="I90" s="138" t="s">
        <v>858</v>
      </c>
      <c r="J90" s="138" t="s">
        <v>662</v>
      </c>
      <c r="K90" s="138" t="s">
        <v>859</v>
      </c>
      <c r="L90" s="138" t="s">
        <v>245</v>
      </c>
      <c r="M90" s="138" t="s">
        <v>835</v>
      </c>
      <c r="N90" s="138" t="s">
        <v>654</v>
      </c>
      <c r="O90" s="138" t="s">
        <v>714</v>
      </c>
      <c r="P90"/>
      <c r="Q90"/>
    </row>
    <row r="91" spans="1:19">
      <c r="A91" t="str">
        <f t="shared" ref="A91:A100" si="9">MID(D91,(LEN(D91)-3),2)&amp;"-"&amp;MID(D91,(LEN(D91)-1),2)</f>
        <v>10-08</v>
      </c>
      <c r="B91" t="str">
        <f t="shared" ref="B91:B100" si="10">IF(H91="AU","AUD","USD")</f>
        <v>USD</v>
      </c>
      <c r="C91" s="141" t="s">
        <v>656</v>
      </c>
      <c r="D91" s="141">
        <v>1231008</v>
      </c>
      <c r="E91" s="141" t="s">
        <v>707</v>
      </c>
      <c r="F91" s="141" t="s">
        <v>874</v>
      </c>
      <c r="G91" s="141" t="s">
        <v>875</v>
      </c>
      <c r="H91" s="141" t="s">
        <v>876</v>
      </c>
      <c r="I91" s="141" t="s">
        <v>877</v>
      </c>
      <c r="J91" s="141" t="s">
        <v>662</v>
      </c>
      <c r="K91" s="141" t="s">
        <v>878</v>
      </c>
      <c r="L91" s="141" t="s">
        <v>61</v>
      </c>
      <c r="M91" s="141" t="s">
        <v>879</v>
      </c>
      <c r="N91" s="141" t="s">
        <v>654</v>
      </c>
      <c r="O91" s="141" t="s">
        <v>799</v>
      </c>
      <c r="P91"/>
      <c r="Q91"/>
    </row>
    <row r="92" spans="1:19">
      <c r="A92" t="str">
        <f t="shared" si="9"/>
        <v>10-09</v>
      </c>
      <c r="B92" t="str">
        <f t="shared" si="10"/>
        <v>USD</v>
      </c>
      <c r="C92" s="141" t="s">
        <v>656</v>
      </c>
      <c r="D92" s="141">
        <v>1231009</v>
      </c>
      <c r="E92" s="141" t="s">
        <v>657</v>
      </c>
      <c r="F92" s="141" t="s">
        <v>882</v>
      </c>
      <c r="G92" s="141" t="s">
        <v>659</v>
      </c>
      <c r="H92" s="141" t="s">
        <v>660</v>
      </c>
      <c r="I92" s="141" t="s">
        <v>883</v>
      </c>
      <c r="J92" s="141" t="s">
        <v>662</v>
      </c>
      <c r="K92" s="141" t="s">
        <v>884</v>
      </c>
      <c r="L92" s="141" t="s">
        <v>64</v>
      </c>
      <c r="M92" s="141" t="s">
        <v>885</v>
      </c>
      <c r="N92" s="141" t="s">
        <v>654</v>
      </c>
      <c r="O92" s="141" t="s">
        <v>799</v>
      </c>
      <c r="P92"/>
      <c r="Q92"/>
    </row>
    <row r="93" spans="1:19">
      <c r="A93" t="str">
        <f t="shared" si="9"/>
        <v>10-09</v>
      </c>
      <c r="B93" t="str">
        <f t="shared" si="10"/>
        <v>USD</v>
      </c>
      <c r="C93" s="138" t="s">
        <v>656</v>
      </c>
      <c r="D93" s="138">
        <v>1231009</v>
      </c>
      <c r="E93" s="138" t="s">
        <v>657</v>
      </c>
      <c r="F93" s="138" t="s">
        <v>882</v>
      </c>
      <c r="G93" s="138" t="s">
        <v>659</v>
      </c>
      <c r="H93" s="138" t="s">
        <v>660</v>
      </c>
      <c r="I93" s="138" t="s">
        <v>886</v>
      </c>
      <c r="J93" s="138" t="s">
        <v>662</v>
      </c>
      <c r="K93" s="138" t="s">
        <v>887</v>
      </c>
      <c r="L93" s="138" t="s">
        <v>64</v>
      </c>
      <c r="M93" s="138" t="s">
        <v>885</v>
      </c>
      <c r="N93" s="138" t="s">
        <v>654</v>
      </c>
      <c r="O93" s="138" t="s">
        <v>799</v>
      </c>
      <c r="P93"/>
      <c r="Q93"/>
    </row>
    <row r="94" spans="1:19">
      <c r="A94" t="str">
        <f t="shared" si="9"/>
        <v>10-09</v>
      </c>
      <c r="B94" t="str">
        <f t="shared" si="10"/>
        <v>USD</v>
      </c>
      <c r="C94" s="141" t="s">
        <v>656</v>
      </c>
      <c r="D94" s="141">
        <v>1231009</v>
      </c>
      <c r="E94" s="141" t="s">
        <v>657</v>
      </c>
      <c r="F94" s="141" t="s">
        <v>882</v>
      </c>
      <c r="G94" s="141" t="s">
        <v>659</v>
      </c>
      <c r="H94" s="141" t="s">
        <v>660</v>
      </c>
      <c r="I94" s="141" t="s">
        <v>888</v>
      </c>
      <c r="J94" s="141" t="s">
        <v>662</v>
      </c>
      <c r="K94" s="141" t="s">
        <v>889</v>
      </c>
      <c r="L94" s="141" t="s">
        <v>64</v>
      </c>
      <c r="M94" s="141" t="s">
        <v>885</v>
      </c>
      <c r="N94" s="141" t="s">
        <v>654</v>
      </c>
      <c r="O94" s="141" t="s">
        <v>799</v>
      </c>
      <c r="P94"/>
      <c r="Q94"/>
    </row>
    <row r="95" spans="1:19">
      <c r="A95" t="str">
        <f t="shared" si="9"/>
        <v>10-09</v>
      </c>
      <c r="B95" t="str">
        <f t="shared" si="10"/>
        <v>USD</v>
      </c>
      <c r="C95" s="138" t="s">
        <v>656</v>
      </c>
      <c r="D95" s="138">
        <v>1231009</v>
      </c>
      <c r="E95" s="138" t="s">
        <v>657</v>
      </c>
      <c r="F95" s="138" t="s">
        <v>882</v>
      </c>
      <c r="G95" s="138" t="s">
        <v>659</v>
      </c>
      <c r="H95" s="138" t="s">
        <v>660</v>
      </c>
      <c r="I95" s="138" t="s">
        <v>890</v>
      </c>
      <c r="J95" s="138" t="s">
        <v>662</v>
      </c>
      <c r="K95" s="138" t="s">
        <v>891</v>
      </c>
      <c r="L95" s="138" t="s">
        <v>64</v>
      </c>
      <c r="M95" s="138" t="s">
        <v>885</v>
      </c>
      <c r="N95" s="138" t="s">
        <v>654</v>
      </c>
      <c r="O95" s="138" t="s">
        <v>799</v>
      </c>
      <c r="P95"/>
      <c r="Q95"/>
    </row>
    <row r="96" spans="1:19">
      <c r="A96" t="str">
        <f t="shared" si="9"/>
        <v>10-10</v>
      </c>
      <c r="B96" t="str">
        <f t="shared" si="10"/>
        <v>USD</v>
      </c>
      <c r="C96" s="141" t="s">
        <v>656</v>
      </c>
      <c r="D96" s="141">
        <v>1231010</v>
      </c>
      <c r="E96" s="141" t="s">
        <v>657</v>
      </c>
      <c r="F96" s="141" t="s">
        <v>658</v>
      </c>
      <c r="G96" s="141" t="s">
        <v>659</v>
      </c>
      <c r="H96" s="141" t="s">
        <v>660</v>
      </c>
      <c r="I96" s="141" t="s">
        <v>900</v>
      </c>
      <c r="J96" s="141" t="s">
        <v>662</v>
      </c>
      <c r="K96" s="141" t="s">
        <v>901</v>
      </c>
      <c r="L96" s="141" t="s">
        <v>79</v>
      </c>
      <c r="M96" s="141" t="s">
        <v>902</v>
      </c>
      <c r="N96" s="141" t="s">
        <v>654</v>
      </c>
      <c r="O96" s="141" t="s">
        <v>655</v>
      </c>
      <c r="P96"/>
      <c r="Q96"/>
      <c r="R96"/>
      <c r="S96"/>
    </row>
    <row r="97" spans="1:28">
      <c r="A97" t="str">
        <f t="shared" si="9"/>
        <v>10-10</v>
      </c>
      <c r="B97" t="str">
        <f t="shared" si="10"/>
        <v>USD</v>
      </c>
      <c r="C97" s="141" t="s">
        <v>656</v>
      </c>
      <c r="D97" s="141">
        <v>1231010</v>
      </c>
      <c r="E97" s="141" t="s">
        <v>707</v>
      </c>
      <c r="F97" s="141" t="s">
        <v>811</v>
      </c>
      <c r="G97" s="141" t="s">
        <v>812</v>
      </c>
      <c r="H97" s="141" t="s">
        <v>813</v>
      </c>
      <c r="I97" s="141" t="s">
        <v>903</v>
      </c>
      <c r="J97" s="141" t="s">
        <v>662</v>
      </c>
      <c r="K97" s="141" t="s">
        <v>904</v>
      </c>
      <c r="L97" s="141" t="s">
        <v>119</v>
      </c>
      <c r="M97" s="141" t="s">
        <v>905</v>
      </c>
      <c r="N97" s="141" t="s">
        <v>654</v>
      </c>
      <c r="O97" s="141" t="s">
        <v>714</v>
      </c>
      <c r="P97"/>
      <c r="Q97"/>
      <c r="R97"/>
      <c r="S97"/>
    </row>
    <row r="98" spans="1:28">
      <c r="A98" t="str">
        <f t="shared" si="9"/>
        <v>10-10</v>
      </c>
      <c r="B98" t="str">
        <f t="shared" si="10"/>
        <v>USD</v>
      </c>
      <c r="C98" s="141" t="s">
        <v>656</v>
      </c>
      <c r="D98" s="141">
        <v>1231010</v>
      </c>
      <c r="E98" s="141" t="s">
        <v>707</v>
      </c>
      <c r="F98" s="141" t="s">
        <v>811</v>
      </c>
      <c r="G98" s="141" t="s">
        <v>812</v>
      </c>
      <c r="H98" s="141" t="s">
        <v>813</v>
      </c>
      <c r="I98" s="141" t="s">
        <v>906</v>
      </c>
      <c r="J98" s="141" t="s">
        <v>662</v>
      </c>
      <c r="K98" s="141" t="s">
        <v>907</v>
      </c>
      <c r="L98" s="141" t="s">
        <v>119</v>
      </c>
      <c r="M98" s="141" t="s">
        <v>905</v>
      </c>
      <c r="N98" s="141" t="s">
        <v>654</v>
      </c>
      <c r="O98" s="141" t="s">
        <v>714</v>
      </c>
      <c r="P98"/>
      <c r="Q98"/>
      <c r="R98"/>
      <c r="S98"/>
    </row>
    <row r="99" spans="1:28">
      <c r="A99" t="str">
        <f t="shared" si="9"/>
        <v>10-10</v>
      </c>
      <c r="B99" t="str">
        <f t="shared" si="10"/>
        <v>USD</v>
      </c>
      <c r="C99" s="141" t="s">
        <v>656</v>
      </c>
      <c r="D99" s="141">
        <v>1231010</v>
      </c>
      <c r="E99" s="141" t="s">
        <v>707</v>
      </c>
      <c r="F99" s="141" t="s">
        <v>811</v>
      </c>
      <c r="G99" s="141" t="s">
        <v>812</v>
      </c>
      <c r="H99" s="141" t="s">
        <v>813</v>
      </c>
      <c r="I99" s="141" t="s">
        <v>908</v>
      </c>
      <c r="J99" s="141" t="s">
        <v>662</v>
      </c>
      <c r="K99" s="141" t="s">
        <v>909</v>
      </c>
      <c r="L99" s="141" t="s">
        <v>119</v>
      </c>
      <c r="M99" s="141" t="s">
        <v>905</v>
      </c>
      <c r="N99" s="141" t="s">
        <v>654</v>
      </c>
      <c r="O99" s="141" t="s">
        <v>714</v>
      </c>
      <c r="P99"/>
      <c r="Q99"/>
      <c r="R99"/>
      <c r="S99"/>
    </row>
    <row r="100" spans="1:28">
      <c r="A100" t="str">
        <f t="shared" si="9"/>
        <v>10-10</v>
      </c>
      <c r="B100" t="str">
        <f t="shared" si="10"/>
        <v>USD</v>
      </c>
      <c r="C100" s="141" t="s">
        <v>656</v>
      </c>
      <c r="D100" s="141">
        <v>1231010</v>
      </c>
      <c r="E100" s="141" t="s">
        <v>707</v>
      </c>
      <c r="F100" s="141" t="s">
        <v>892</v>
      </c>
      <c r="G100" s="141" t="s">
        <v>893</v>
      </c>
      <c r="H100" s="141" t="s">
        <v>894</v>
      </c>
      <c r="I100" s="141" t="s">
        <v>895</v>
      </c>
      <c r="J100" s="141" t="s">
        <v>662</v>
      </c>
      <c r="K100" s="141" t="s">
        <v>896</v>
      </c>
      <c r="L100" s="141" t="s">
        <v>89</v>
      </c>
      <c r="M100" s="141" t="s">
        <v>897</v>
      </c>
      <c r="N100" s="141" t="s">
        <v>654</v>
      </c>
      <c r="O100" s="141" t="s">
        <v>714</v>
      </c>
      <c r="P100"/>
      <c r="Q100"/>
      <c r="R100"/>
      <c r="S100"/>
    </row>
    <row r="101" spans="1:28">
      <c r="A101" t="str">
        <f t="shared" ref="A101:A117" si="11">MID(D101,(LEN(D101)-3),2)&amp;"-"&amp;MID(D101,(LEN(D101)-1),2)</f>
        <v>10-10</v>
      </c>
      <c r="B101" t="str">
        <f t="shared" ref="B101:B117" si="12">IF(H101="AU","AUD","USD")</f>
        <v>USD</v>
      </c>
      <c r="C101" s="141" t="s">
        <v>656</v>
      </c>
      <c r="D101" s="141">
        <v>1231010</v>
      </c>
      <c r="E101" s="141" t="s">
        <v>707</v>
      </c>
      <c r="F101" s="141" t="s">
        <v>892</v>
      </c>
      <c r="G101" s="141" t="s">
        <v>893</v>
      </c>
      <c r="H101" s="141" t="s">
        <v>894</v>
      </c>
      <c r="I101" s="141" t="s">
        <v>898</v>
      </c>
      <c r="J101" s="141" t="s">
        <v>662</v>
      </c>
      <c r="K101" s="141" t="s">
        <v>899</v>
      </c>
      <c r="L101" s="141" t="s">
        <v>89</v>
      </c>
      <c r="M101" s="141" t="s">
        <v>897</v>
      </c>
      <c r="N101" s="141" t="s">
        <v>654</v>
      </c>
      <c r="O101" s="141" t="s">
        <v>714</v>
      </c>
      <c r="P101"/>
      <c r="Q101"/>
      <c r="R101"/>
      <c r="S101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 spans="1:28">
      <c r="A102" t="str">
        <f t="shared" si="11"/>
        <v>10-11</v>
      </c>
      <c r="B102" t="str">
        <f t="shared" si="12"/>
        <v>USD</v>
      </c>
      <c r="C102" s="138" t="s">
        <v>656</v>
      </c>
      <c r="D102" s="138">
        <v>1231011</v>
      </c>
      <c r="E102" s="138" t="s">
        <v>707</v>
      </c>
      <c r="F102" s="138" t="s">
        <v>811</v>
      </c>
      <c r="G102" s="138" t="s">
        <v>812</v>
      </c>
      <c r="H102" s="138" t="s">
        <v>813</v>
      </c>
      <c r="I102" s="138" t="s">
        <v>910</v>
      </c>
      <c r="J102" s="138" t="s">
        <v>662</v>
      </c>
      <c r="K102" s="138" t="s">
        <v>911</v>
      </c>
      <c r="L102" s="138" t="s">
        <v>70</v>
      </c>
      <c r="M102" s="138" t="s">
        <v>713</v>
      </c>
      <c r="N102" s="138" t="s">
        <v>654</v>
      </c>
      <c r="O102" s="138" t="s">
        <v>714</v>
      </c>
      <c r="P102"/>
      <c r="Q102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 spans="1:28">
      <c r="A103" t="str">
        <f t="shared" si="11"/>
        <v>10-11</v>
      </c>
      <c r="B103" t="str">
        <f t="shared" si="12"/>
        <v>USD</v>
      </c>
      <c r="C103" s="138" t="s">
        <v>656</v>
      </c>
      <c r="D103" s="138">
        <v>1231011</v>
      </c>
      <c r="E103" s="138" t="s">
        <v>707</v>
      </c>
      <c r="F103" s="138" t="s">
        <v>811</v>
      </c>
      <c r="G103" s="138" t="s">
        <v>812</v>
      </c>
      <c r="H103" s="138" t="s">
        <v>813</v>
      </c>
      <c r="I103" s="138" t="s">
        <v>932</v>
      </c>
      <c r="J103" s="138" t="s">
        <v>662</v>
      </c>
      <c r="K103" s="138" t="s">
        <v>933</v>
      </c>
      <c r="L103" s="138" t="s">
        <v>70</v>
      </c>
      <c r="M103" s="138" t="s">
        <v>713</v>
      </c>
      <c r="N103" s="138" t="s">
        <v>654</v>
      </c>
      <c r="O103" s="138" t="s">
        <v>714</v>
      </c>
      <c r="P103"/>
      <c r="Q103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 spans="1:28">
      <c r="A104" t="str">
        <f t="shared" si="11"/>
        <v>10-11</v>
      </c>
      <c r="B104" t="str">
        <f t="shared" si="12"/>
        <v>USD</v>
      </c>
      <c r="C104" s="138" t="s">
        <v>656</v>
      </c>
      <c r="D104" s="138">
        <v>1231011</v>
      </c>
      <c r="E104" s="138" t="s">
        <v>707</v>
      </c>
      <c r="F104" s="138" t="s">
        <v>811</v>
      </c>
      <c r="G104" s="138" t="s">
        <v>812</v>
      </c>
      <c r="H104" s="138" t="s">
        <v>813</v>
      </c>
      <c r="I104" s="138" t="s">
        <v>936</v>
      </c>
      <c r="J104" s="138" t="s">
        <v>662</v>
      </c>
      <c r="K104" s="138" t="s">
        <v>937</v>
      </c>
      <c r="L104" s="138" t="s">
        <v>70</v>
      </c>
      <c r="M104" s="138" t="s">
        <v>713</v>
      </c>
      <c r="N104" s="138" t="s">
        <v>654</v>
      </c>
      <c r="O104" s="138" t="s">
        <v>714</v>
      </c>
      <c r="P104"/>
      <c r="Q104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 spans="1:28">
      <c r="A105" t="str">
        <f t="shared" si="11"/>
        <v>10-11</v>
      </c>
      <c r="B105" t="str">
        <f t="shared" si="12"/>
        <v>USD</v>
      </c>
      <c r="C105" s="138" t="s">
        <v>656</v>
      </c>
      <c r="D105" s="138">
        <v>1231011</v>
      </c>
      <c r="E105" s="138" t="s">
        <v>707</v>
      </c>
      <c r="F105" s="138" t="s">
        <v>811</v>
      </c>
      <c r="G105" s="138" t="s">
        <v>812</v>
      </c>
      <c r="H105" s="138" t="s">
        <v>813</v>
      </c>
      <c r="I105" s="138" t="s">
        <v>938</v>
      </c>
      <c r="J105" s="138" t="s">
        <v>662</v>
      </c>
      <c r="K105" s="138" t="s">
        <v>939</v>
      </c>
      <c r="L105" s="138" t="s">
        <v>70</v>
      </c>
      <c r="M105" s="138" t="s">
        <v>713</v>
      </c>
      <c r="N105" s="138" t="s">
        <v>654</v>
      </c>
      <c r="O105" s="138" t="s">
        <v>714</v>
      </c>
      <c r="P105"/>
      <c r="Q105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 spans="1:28">
      <c r="A106" t="str">
        <f t="shared" si="11"/>
        <v>10-11</v>
      </c>
      <c r="B106" t="str">
        <f t="shared" si="12"/>
        <v>USD</v>
      </c>
      <c r="C106" s="138" t="s">
        <v>656</v>
      </c>
      <c r="D106" s="138">
        <v>1231011</v>
      </c>
      <c r="E106" s="138" t="s">
        <v>707</v>
      </c>
      <c r="F106" s="138" t="s">
        <v>811</v>
      </c>
      <c r="G106" s="138" t="s">
        <v>812</v>
      </c>
      <c r="H106" s="138" t="s">
        <v>813</v>
      </c>
      <c r="I106" s="138" t="s">
        <v>940</v>
      </c>
      <c r="J106" s="138" t="s">
        <v>662</v>
      </c>
      <c r="K106" s="138" t="s">
        <v>941</v>
      </c>
      <c r="L106" s="138" t="s">
        <v>70</v>
      </c>
      <c r="M106" s="138" t="s">
        <v>713</v>
      </c>
      <c r="N106" s="138" t="s">
        <v>654</v>
      </c>
      <c r="O106" s="138" t="s">
        <v>714</v>
      </c>
      <c r="P106"/>
      <c r="Q106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 spans="1:28">
      <c r="A107" t="str">
        <f t="shared" si="11"/>
        <v>10-11</v>
      </c>
      <c r="B107" t="str">
        <f t="shared" si="12"/>
        <v>USD</v>
      </c>
      <c r="C107" s="138" t="s">
        <v>656</v>
      </c>
      <c r="D107" s="138">
        <v>1231011</v>
      </c>
      <c r="E107" s="138" t="s">
        <v>707</v>
      </c>
      <c r="F107" s="138" t="s">
        <v>811</v>
      </c>
      <c r="G107" s="138" t="s">
        <v>812</v>
      </c>
      <c r="H107" s="138" t="s">
        <v>813</v>
      </c>
      <c r="I107" s="138" t="s">
        <v>942</v>
      </c>
      <c r="J107" s="138" t="s">
        <v>662</v>
      </c>
      <c r="K107" s="138" t="s">
        <v>943</v>
      </c>
      <c r="L107" s="138" t="s">
        <v>70</v>
      </c>
      <c r="M107" s="138" t="s">
        <v>713</v>
      </c>
      <c r="N107" s="138" t="s">
        <v>654</v>
      </c>
      <c r="O107" s="138" t="s">
        <v>714</v>
      </c>
      <c r="P107"/>
      <c r="Q107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 spans="1:28">
      <c r="A108" t="str">
        <f t="shared" si="11"/>
        <v>10-11</v>
      </c>
      <c r="B108" t="str">
        <f t="shared" si="12"/>
        <v>USD</v>
      </c>
      <c r="C108" s="138" t="s">
        <v>656</v>
      </c>
      <c r="D108" s="138">
        <v>1231011</v>
      </c>
      <c r="E108" s="138" t="s">
        <v>707</v>
      </c>
      <c r="F108" s="138" t="s">
        <v>811</v>
      </c>
      <c r="G108" s="138" t="s">
        <v>812</v>
      </c>
      <c r="H108" s="138" t="s">
        <v>813</v>
      </c>
      <c r="I108" s="138" t="s">
        <v>944</v>
      </c>
      <c r="J108" s="138" t="s">
        <v>662</v>
      </c>
      <c r="K108" s="138" t="s">
        <v>945</v>
      </c>
      <c r="L108" s="138" t="s">
        <v>70</v>
      </c>
      <c r="M108" s="138" t="s">
        <v>713</v>
      </c>
      <c r="N108" s="138" t="s">
        <v>654</v>
      </c>
      <c r="O108" s="138" t="s">
        <v>714</v>
      </c>
      <c r="P108"/>
      <c r="Q108"/>
    </row>
    <row r="109" spans="1:28">
      <c r="A109" t="str">
        <f t="shared" si="11"/>
        <v>10-11</v>
      </c>
      <c r="B109" t="str">
        <f t="shared" si="12"/>
        <v>USD</v>
      </c>
      <c r="C109" s="138" t="s">
        <v>656</v>
      </c>
      <c r="D109" s="138">
        <v>1231011</v>
      </c>
      <c r="E109" s="138" t="s">
        <v>707</v>
      </c>
      <c r="F109" s="138" t="s">
        <v>811</v>
      </c>
      <c r="G109" s="138" t="s">
        <v>812</v>
      </c>
      <c r="H109" s="138" t="s">
        <v>813</v>
      </c>
      <c r="I109" s="138" t="s">
        <v>946</v>
      </c>
      <c r="J109" s="138" t="s">
        <v>662</v>
      </c>
      <c r="K109" s="138" t="s">
        <v>947</v>
      </c>
      <c r="L109" s="138" t="s">
        <v>70</v>
      </c>
      <c r="M109" s="138" t="s">
        <v>713</v>
      </c>
      <c r="N109" s="138" t="s">
        <v>654</v>
      </c>
      <c r="O109" s="138" t="s">
        <v>714</v>
      </c>
      <c r="P109"/>
      <c r="Q109"/>
    </row>
    <row r="110" spans="1:28">
      <c r="A110" t="str">
        <f t="shared" si="11"/>
        <v>10-11</v>
      </c>
      <c r="B110" t="str">
        <f t="shared" si="12"/>
        <v>USD</v>
      </c>
      <c r="C110" s="138" t="s">
        <v>656</v>
      </c>
      <c r="D110" s="138">
        <v>1231011</v>
      </c>
      <c r="E110" s="138" t="s">
        <v>707</v>
      </c>
      <c r="F110" s="138" t="s">
        <v>811</v>
      </c>
      <c r="G110" s="138" t="s">
        <v>812</v>
      </c>
      <c r="H110" s="138" t="s">
        <v>813</v>
      </c>
      <c r="I110" s="138" t="s">
        <v>948</v>
      </c>
      <c r="J110" s="138" t="s">
        <v>662</v>
      </c>
      <c r="K110" s="138" t="s">
        <v>949</v>
      </c>
      <c r="L110" s="138" t="s">
        <v>70</v>
      </c>
      <c r="M110" s="138" t="s">
        <v>713</v>
      </c>
      <c r="N110" s="138" t="s">
        <v>654</v>
      </c>
      <c r="O110" s="138" t="s">
        <v>714</v>
      </c>
      <c r="P110"/>
      <c r="Q110"/>
    </row>
    <row r="111" spans="1:28">
      <c r="A111" t="str">
        <f t="shared" si="11"/>
        <v>10-11</v>
      </c>
      <c r="B111" t="str">
        <f t="shared" si="12"/>
        <v>USD</v>
      </c>
      <c r="C111" s="138" t="s">
        <v>656</v>
      </c>
      <c r="D111" s="138">
        <v>1231011</v>
      </c>
      <c r="E111" s="138" t="s">
        <v>707</v>
      </c>
      <c r="F111" s="138" t="s">
        <v>811</v>
      </c>
      <c r="G111" s="138" t="s">
        <v>812</v>
      </c>
      <c r="H111" s="138" t="s">
        <v>813</v>
      </c>
      <c r="I111" s="138" t="s">
        <v>912</v>
      </c>
      <c r="J111" s="138" t="s">
        <v>662</v>
      </c>
      <c r="K111" s="138" t="s">
        <v>913</v>
      </c>
      <c r="L111" s="138" t="s">
        <v>70</v>
      </c>
      <c r="M111" s="138" t="s">
        <v>713</v>
      </c>
      <c r="N111" s="138" t="s">
        <v>654</v>
      </c>
      <c r="O111" s="138" t="s">
        <v>714</v>
      </c>
      <c r="P111"/>
      <c r="Q111"/>
    </row>
    <row r="112" spans="1:28">
      <c r="A112" t="str">
        <f t="shared" si="11"/>
        <v>10-11</v>
      </c>
      <c r="B112" t="str">
        <f t="shared" si="12"/>
        <v>USD</v>
      </c>
      <c r="C112" s="138" t="s">
        <v>656</v>
      </c>
      <c r="D112" s="138">
        <v>1231011</v>
      </c>
      <c r="E112" s="138" t="s">
        <v>707</v>
      </c>
      <c r="F112" s="138" t="s">
        <v>811</v>
      </c>
      <c r="G112" s="138" t="s">
        <v>812</v>
      </c>
      <c r="H112" s="138" t="s">
        <v>813</v>
      </c>
      <c r="I112" s="138" t="s">
        <v>914</v>
      </c>
      <c r="J112" s="138" t="s">
        <v>662</v>
      </c>
      <c r="K112" s="138" t="s">
        <v>915</v>
      </c>
      <c r="L112" s="138" t="s">
        <v>70</v>
      </c>
      <c r="M112" s="138" t="s">
        <v>713</v>
      </c>
      <c r="N112" s="138" t="s">
        <v>654</v>
      </c>
      <c r="O112" s="138" t="s">
        <v>714</v>
      </c>
      <c r="P112"/>
      <c r="Q112"/>
    </row>
    <row r="113" spans="1:17">
      <c r="A113" t="str">
        <f t="shared" si="11"/>
        <v>10-11</v>
      </c>
      <c r="B113" t="str">
        <f t="shared" si="12"/>
        <v>USD</v>
      </c>
      <c r="C113" s="138" t="s">
        <v>656</v>
      </c>
      <c r="D113" s="138">
        <v>1231011</v>
      </c>
      <c r="E113" s="138" t="s">
        <v>707</v>
      </c>
      <c r="F113" s="138" t="s">
        <v>811</v>
      </c>
      <c r="G113" s="138" t="s">
        <v>812</v>
      </c>
      <c r="H113" s="138" t="s">
        <v>813</v>
      </c>
      <c r="I113" s="138" t="s">
        <v>916</v>
      </c>
      <c r="J113" s="138" t="s">
        <v>662</v>
      </c>
      <c r="K113" s="138" t="s">
        <v>917</v>
      </c>
      <c r="L113" s="138" t="s">
        <v>70</v>
      </c>
      <c r="M113" s="138" t="s">
        <v>713</v>
      </c>
      <c r="N113" s="138" t="s">
        <v>654</v>
      </c>
      <c r="O113" s="138" t="s">
        <v>714</v>
      </c>
      <c r="P113"/>
      <c r="Q113"/>
    </row>
    <row r="114" spans="1:17">
      <c r="A114" t="str">
        <f t="shared" si="11"/>
        <v>10-11</v>
      </c>
      <c r="B114" t="str">
        <f t="shared" si="12"/>
        <v>USD</v>
      </c>
      <c r="C114" s="138" t="s">
        <v>656</v>
      </c>
      <c r="D114" s="138">
        <v>1231011</v>
      </c>
      <c r="E114" s="138" t="s">
        <v>707</v>
      </c>
      <c r="F114" s="138" t="s">
        <v>811</v>
      </c>
      <c r="G114" s="138" t="s">
        <v>812</v>
      </c>
      <c r="H114" s="138" t="s">
        <v>813</v>
      </c>
      <c r="I114" s="138" t="s">
        <v>918</v>
      </c>
      <c r="J114" s="138" t="s">
        <v>662</v>
      </c>
      <c r="K114" s="138" t="s">
        <v>919</v>
      </c>
      <c r="L114" s="138" t="s">
        <v>70</v>
      </c>
      <c r="M114" s="138" t="s">
        <v>713</v>
      </c>
      <c r="N114" s="138" t="s">
        <v>654</v>
      </c>
      <c r="O114" s="138" t="s">
        <v>714</v>
      </c>
      <c r="P114"/>
      <c r="Q114"/>
    </row>
    <row r="115" spans="1:17">
      <c r="A115" t="str">
        <f t="shared" si="11"/>
        <v>10-11</v>
      </c>
      <c r="B115" t="str">
        <f t="shared" si="12"/>
        <v>USD</v>
      </c>
      <c r="C115" s="138" t="s">
        <v>656</v>
      </c>
      <c r="D115" s="138">
        <v>1231011</v>
      </c>
      <c r="E115" s="138" t="s">
        <v>707</v>
      </c>
      <c r="F115" s="138" t="s">
        <v>811</v>
      </c>
      <c r="G115" s="138" t="s">
        <v>812</v>
      </c>
      <c r="H115" s="138" t="s">
        <v>813</v>
      </c>
      <c r="I115" s="138" t="s">
        <v>920</v>
      </c>
      <c r="J115" s="138" t="s">
        <v>662</v>
      </c>
      <c r="K115" s="138" t="s">
        <v>921</v>
      </c>
      <c r="L115" s="138" t="s">
        <v>70</v>
      </c>
      <c r="M115" s="138" t="s">
        <v>713</v>
      </c>
      <c r="N115" s="138" t="s">
        <v>654</v>
      </c>
      <c r="O115" s="138" t="s">
        <v>714</v>
      </c>
      <c r="P115"/>
      <c r="Q115"/>
    </row>
    <row r="116" spans="1:17">
      <c r="A116" t="str">
        <f t="shared" si="11"/>
        <v>10-11</v>
      </c>
      <c r="B116" t="str">
        <f t="shared" si="12"/>
        <v>USD</v>
      </c>
      <c r="C116" s="138" t="s">
        <v>656</v>
      </c>
      <c r="D116" s="138">
        <v>1231011</v>
      </c>
      <c r="E116" s="138" t="s">
        <v>707</v>
      </c>
      <c r="F116" s="138" t="s">
        <v>811</v>
      </c>
      <c r="G116" s="138" t="s">
        <v>812</v>
      </c>
      <c r="H116" s="138" t="s">
        <v>813</v>
      </c>
      <c r="I116" s="138" t="s">
        <v>922</v>
      </c>
      <c r="J116" s="138" t="s">
        <v>662</v>
      </c>
      <c r="K116" s="138" t="s">
        <v>923</v>
      </c>
      <c r="L116" s="138" t="s">
        <v>70</v>
      </c>
      <c r="M116" s="138" t="s">
        <v>713</v>
      </c>
      <c r="N116" s="138" t="s">
        <v>654</v>
      </c>
      <c r="O116" s="138" t="s">
        <v>714</v>
      </c>
      <c r="P116"/>
      <c r="Q116"/>
    </row>
    <row r="117" spans="1:17">
      <c r="A117" t="str">
        <f t="shared" si="11"/>
        <v>10-11</v>
      </c>
      <c r="B117" t="str">
        <f t="shared" si="12"/>
        <v>USD</v>
      </c>
      <c r="C117" s="138" t="s">
        <v>656</v>
      </c>
      <c r="D117" s="138">
        <v>1231011</v>
      </c>
      <c r="E117" s="138" t="s">
        <v>707</v>
      </c>
      <c r="F117" s="138" t="s">
        <v>811</v>
      </c>
      <c r="G117" s="138" t="s">
        <v>812</v>
      </c>
      <c r="H117" s="138" t="s">
        <v>813</v>
      </c>
      <c r="I117" s="138" t="s">
        <v>924</v>
      </c>
      <c r="J117" s="138" t="s">
        <v>662</v>
      </c>
      <c r="K117" s="138" t="s">
        <v>925</v>
      </c>
      <c r="L117" s="138" t="s">
        <v>70</v>
      </c>
      <c r="M117" s="138" t="s">
        <v>713</v>
      </c>
      <c r="N117" s="138" t="s">
        <v>654</v>
      </c>
      <c r="O117" s="138" t="s">
        <v>714</v>
      </c>
      <c r="P117"/>
      <c r="Q117"/>
    </row>
    <row r="118" spans="1:17">
      <c r="A118" t="str">
        <f t="shared" ref="A118:A124" si="13">MID(D118,(LEN(D118)-3),2)&amp;"-"&amp;MID(D118,(LEN(D118)-1),2)</f>
        <v>10-11</v>
      </c>
      <c r="B118" t="str">
        <f t="shared" ref="B118:B124" si="14">IF(H118="AU","AUD","USD")</f>
        <v>USD</v>
      </c>
      <c r="C118" s="138" t="s">
        <v>656</v>
      </c>
      <c r="D118" s="138">
        <v>1231011</v>
      </c>
      <c r="E118" s="138" t="s">
        <v>707</v>
      </c>
      <c r="F118" s="138" t="s">
        <v>811</v>
      </c>
      <c r="G118" s="138" t="s">
        <v>812</v>
      </c>
      <c r="H118" s="138" t="s">
        <v>813</v>
      </c>
      <c r="I118" s="138" t="s">
        <v>926</v>
      </c>
      <c r="J118" s="138" t="s">
        <v>662</v>
      </c>
      <c r="K118" s="138" t="s">
        <v>927</v>
      </c>
      <c r="L118" s="138" t="s">
        <v>70</v>
      </c>
      <c r="M118" s="138" t="s">
        <v>713</v>
      </c>
      <c r="N118" s="138" t="s">
        <v>654</v>
      </c>
      <c r="O118" s="138" t="s">
        <v>714</v>
      </c>
      <c r="P118"/>
      <c r="Q118"/>
    </row>
    <row r="119" spans="1:17">
      <c r="A119" t="str">
        <f t="shared" si="13"/>
        <v>10-11</v>
      </c>
      <c r="B119" t="str">
        <f t="shared" si="14"/>
        <v>USD</v>
      </c>
      <c r="C119" s="138" t="s">
        <v>656</v>
      </c>
      <c r="D119" s="138">
        <v>1231011</v>
      </c>
      <c r="E119" s="138" t="s">
        <v>707</v>
      </c>
      <c r="F119" s="138" t="s">
        <v>811</v>
      </c>
      <c r="G119" s="138" t="s">
        <v>812</v>
      </c>
      <c r="H119" s="138" t="s">
        <v>813</v>
      </c>
      <c r="I119" s="138" t="s">
        <v>928</v>
      </c>
      <c r="J119" s="138" t="s">
        <v>662</v>
      </c>
      <c r="K119" s="138" t="s">
        <v>929</v>
      </c>
      <c r="L119" s="138" t="s">
        <v>70</v>
      </c>
      <c r="M119" s="138" t="s">
        <v>713</v>
      </c>
      <c r="N119" s="138" t="s">
        <v>654</v>
      </c>
      <c r="O119" s="138" t="s">
        <v>714</v>
      </c>
      <c r="P119"/>
      <c r="Q119"/>
    </row>
    <row r="120" spans="1:17">
      <c r="A120" t="str">
        <f t="shared" si="13"/>
        <v>10-11</v>
      </c>
      <c r="B120" t="str">
        <f t="shared" si="14"/>
        <v>USD</v>
      </c>
      <c r="C120" s="138" t="s">
        <v>656</v>
      </c>
      <c r="D120" s="138">
        <v>1231011</v>
      </c>
      <c r="E120" s="138" t="s">
        <v>707</v>
      </c>
      <c r="F120" s="138" t="s">
        <v>811</v>
      </c>
      <c r="G120" s="138" t="s">
        <v>812</v>
      </c>
      <c r="H120" s="138" t="s">
        <v>813</v>
      </c>
      <c r="I120" s="138" t="s">
        <v>930</v>
      </c>
      <c r="J120" s="138" t="s">
        <v>662</v>
      </c>
      <c r="K120" s="138" t="s">
        <v>931</v>
      </c>
      <c r="L120" s="138" t="s">
        <v>70</v>
      </c>
      <c r="M120" s="138" t="s">
        <v>713</v>
      </c>
      <c r="N120" s="138" t="s">
        <v>654</v>
      </c>
      <c r="O120" s="138" t="s">
        <v>714</v>
      </c>
      <c r="P120"/>
      <c r="Q120"/>
    </row>
    <row r="121" spans="1:17">
      <c r="A121" t="str">
        <f t="shared" si="13"/>
        <v>10-11</v>
      </c>
      <c r="B121" t="str">
        <f t="shared" si="14"/>
        <v>USD</v>
      </c>
      <c r="C121" s="138" t="s">
        <v>656</v>
      </c>
      <c r="D121" s="138">
        <v>1231011</v>
      </c>
      <c r="E121" s="138" t="s">
        <v>707</v>
      </c>
      <c r="F121" s="138" t="s">
        <v>811</v>
      </c>
      <c r="G121" s="138" t="s">
        <v>812</v>
      </c>
      <c r="H121" s="138" t="s">
        <v>813</v>
      </c>
      <c r="I121" s="138" t="s">
        <v>934</v>
      </c>
      <c r="J121" s="138" t="s">
        <v>662</v>
      </c>
      <c r="K121" s="138" t="s">
        <v>935</v>
      </c>
      <c r="L121" s="138" t="s">
        <v>70</v>
      </c>
      <c r="M121" s="138" t="s">
        <v>713</v>
      </c>
      <c r="N121" s="138" t="s">
        <v>654</v>
      </c>
      <c r="O121" s="138" t="s">
        <v>714</v>
      </c>
      <c r="P121"/>
      <c r="Q121"/>
    </row>
    <row r="122" spans="1:17">
      <c r="A122" t="str">
        <f t="shared" si="13"/>
        <v>10-12</v>
      </c>
      <c r="B122" t="str">
        <f t="shared" si="14"/>
        <v>USD</v>
      </c>
      <c r="C122" s="141" t="s">
        <v>656</v>
      </c>
      <c r="D122" s="141">
        <v>1231012</v>
      </c>
      <c r="E122" s="141" t="s">
        <v>657</v>
      </c>
      <c r="F122" s="141" t="s">
        <v>658</v>
      </c>
      <c r="G122" s="141" t="s">
        <v>659</v>
      </c>
      <c r="H122" s="141" t="s">
        <v>660</v>
      </c>
      <c r="I122" s="141" t="s">
        <v>950</v>
      </c>
      <c r="J122" s="141" t="s">
        <v>662</v>
      </c>
      <c r="K122" s="141" t="s">
        <v>951</v>
      </c>
      <c r="L122" s="141" t="s">
        <v>499</v>
      </c>
      <c r="M122" s="141" t="s">
        <v>774</v>
      </c>
      <c r="N122" s="141" t="s">
        <v>654</v>
      </c>
      <c r="O122" s="141" t="s">
        <v>655</v>
      </c>
      <c r="P122"/>
      <c r="Q122"/>
    </row>
    <row r="123" spans="1:17">
      <c r="A123" t="str">
        <f t="shared" si="13"/>
        <v>10-12</v>
      </c>
      <c r="B123" t="str">
        <f t="shared" si="14"/>
        <v>USD</v>
      </c>
      <c r="C123" s="141" t="s">
        <v>656</v>
      </c>
      <c r="D123" s="141">
        <v>1231012</v>
      </c>
      <c r="E123" s="141" t="s">
        <v>657</v>
      </c>
      <c r="F123" s="141" t="s">
        <v>658</v>
      </c>
      <c r="G123" s="141" t="s">
        <v>659</v>
      </c>
      <c r="H123" s="141" t="s">
        <v>660</v>
      </c>
      <c r="I123" s="141" t="s">
        <v>952</v>
      </c>
      <c r="J123" s="141" t="s">
        <v>662</v>
      </c>
      <c r="K123" s="141" t="s">
        <v>953</v>
      </c>
      <c r="L123" s="141" t="s">
        <v>499</v>
      </c>
      <c r="M123" s="141" t="s">
        <v>774</v>
      </c>
      <c r="N123" s="141" t="s">
        <v>654</v>
      </c>
      <c r="O123" s="141" t="s">
        <v>655</v>
      </c>
      <c r="P123"/>
      <c r="Q123"/>
    </row>
    <row r="124" spans="1:17">
      <c r="A124" t="str">
        <f t="shared" si="13"/>
        <v>10-13</v>
      </c>
      <c r="B124" t="str">
        <f t="shared" si="14"/>
        <v>USD</v>
      </c>
      <c r="C124" s="141" t="s">
        <v>656</v>
      </c>
      <c r="D124" s="141">
        <v>1231013</v>
      </c>
      <c r="E124" s="141" t="s">
        <v>657</v>
      </c>
      <c r="F124" s="141" t="s">
        <v>658</v>
      </c>
      <c r="G124" s="141" t="s">
        <v>659</v>
      </c>
      <c r="H124" s="141" t="s">
        <v>660</v>
      </c>
      <c r="I124" s="141" t="s">
        <v>954</v>
      </c>
      <c r="J124" s="141" t="s">
        <v>662</v>
      </c>
      <c r="K124" s="141" t="s">
        <v>955</v>
      </c>
      <c r="L124" s="141" t="s">
        <v>68</v>
      </c>
      <c r="M124" s="141" t="s">
        <v>956</v>
      </c>
      <c r="N124" s="141" t="s">
        <v>654</v>
      </c>
      <c r="O124" s="141" t="s">
        <v>665</v>
      </c>
      <c r="P124"/>
      <c r="Q124"/>
    </row>
    <row r="125" spans="1:17">
      <c r="A125" t="str">
        <f t="shared" ref="A125:A145" si="15">MID(D125,(LEN(D125)-3),2)&amp;"-"&amp;MID(D125,(LEN(D125)-1),2)</f>
        <v>10-13</v>
      </c>
      <c r="B125" t="str">
        <f t="shared" ref="B125:B145" si="16">IF(H125="AU","AUD","USD")</f>
        <v>USD</v>
      </c>
      <c r="C125" s="141" t="s">
        <v>656</v>
      </c>
      <c r="D125" s="141">
        <v>1231013</v>
      </c>
      <c r="E125" s="141" t="s">
        <v>657</v>
      </c>
      <c r="F125" s="141" t="s">
        <v>658</v>
      </c>
      <c r="G125" s="141" t="s">
        <v>659</v>
      </c>
      <c r="H125" s="141" t="s">
        <v>660</v>
      </c>
      <c r="I125" s="141" t="s">
        <v>957</v>
      </c>
      <c r="J125" s="141" t="s">
        <v>662</v>
      </c>
      <c r="K125" s="141" t="s">
        <v>958</v>
      </c>
      <c r="L125" s="141" t="s">
        <v>68</v>
      </c>
      <c r="M125" s="141" t="s">
        <v>956</v>
      </c>
      <c r="N125" s="141" t="s">
        <v>654</v>
      </c>
      <c r="O125" s="141" t="s">
        <v>665</v>
      </c>
      <c r="P125"/>
      <c r="Q125"/>
    </row>
    <row r="126" spans="1:17">
      <c r="A126" t="str">
        <f t="shared" si="15"/>
        <v>10-13</v>
      </c>
      <c r="B126" t="str">
        <f t="shared" si="16"/>
        <v>USD</v>
      </c>
      <c r="C126" s="141" t="s">
        <v>656</v>
      </c>
      <c r="D126" s="141">
        <v>1231013</v>
      </c>
      <c r="E126" s="141" t="s">
        <v>657</v>
      </c>
      <c r="F126" s="141" t="s">
        <v>658</v>
      </c>
      <c r="G126" s="141" t="s">
        <v>659</v>
      </c>
      <c r="H126" s="141" t="s">
        <v>660</v>
      </c>
      <c r="I126" s="141" t="s">
        <v>959</v>
      </c>
      <c r="J126" s="141" t="s">
        <v>662</v>
      </c>
      <c r="K126" s="141" t="s">
        <v>960</v>
      </c>
      <c r="L126" s="141" t="s">
        <v>68</v>
      </c>
      <c r="M126" s="141" t="s">
        <v>956</v>
      </c>
      <c r="N126" s="141" t="s">
        <v>654</v>
      </c>
      <c r="O126" s="141" t="s">
        <v>665</v>
      </c>
      <c r="P126"/>
      <c r="Q126"/>
    </row>
    <row r="127" spans="1:17">
      <c r="A127" t="str">
        <f t="shared" si="15"/>
        <v>10-13</v>
      </c>
      <c r="B127" t="str">
        <f t="shared" si="16"/>
        <v>USD</v>
      </c>
      <c r="C127" s="141" t="s">
        <v>656</v>
      </c>
      <c r="D127" s="141">
        <v>1231013</v>
      </c>
      <c r="E127" s="141" t="s">
        <v>657</v>
      </c>
      <c r="F127" s="141" t="s">
        <v>658</v>
      </c>
      <c r="G127" s="141" t="s">
        <v>659</v>
      </c>
      <c r="H127" s="141" t="s">
        <v>660</v>
      </c>
      <c r="I127" s="141" t="s">
        <v>961</v>
      </c>
      <c r="J127" s="141" t="s">
        <v>662</v>
      </c>
      <c r="K127" s="141" t="s">
        <v>962</v>
      </c>
      <c r="L127" s="141" t="s">
        <v>68</v>
      </c>
      <c r="M127" s="141" t="s">
        <v>956</v>
      </c>
      <c r="N127" s="141" t="s">
        <v>654</v>
      </c>
      <c r="O127" s="141" t="s">
        <v>665</v>
      </c>
      <c r="P127"/>
      <c r="Q127"/>
    </row>
    <row r="128" spans="1:17">
      <c r="A128" t="str">
        <f t="shared" si="15"/>
        <v>10-13</v>
      </c>
      <c r="B128" t="str">
        <f t="shared" si="16"/>
        <v>USD</v>
      </c>
      <c r="C128" s="141" t="s">
        <v>656</v>
      </c>
      <c r="D128" s="141">
        <v>1231013</v>
      </c>
      <c r="E128" s="141" t="s">
        <v>657</v>
      </c>
      <c r="F128" s="141" t="s">
        <v>658</v>
      </c>
      <c r="G128" s="141" t="s">
        <v>659</v>
      </c>
      <c r="H128" s="141" t="s">
        <v>660</v>
      </c>
      <c r="I128" s="141" t="s">
        <v>963</v>
      </c>
      <c r="J128" s="141" t="s">
        <v>662</v>
      </c>
      <c r="K128" s="141" t="s">
        <v>964</v>
      </c>
      <c r="L128" s="141" t="s">
        <v>68</v>
      </c>
      <c r="M128" s="141" t="s">
        <v>956</v>
      </c>
      <c r="N128" s="141" t="s">
        <v>654</v>
      </c>
      <c r="O128" s="141" t="s">
        <v>665</v>
      </c>
      <c r="P128"/>
      <c r="Q128"/>
    </row>
    <row r="129" spans="1:19">
      <c r="A129" t="str">
        <f t="shared" si="15"/>
        <v>10-15</v>
      </c>
      <c r="B129" t="str">
        <f t="shared" si="16"/>
        <v>USD</v>
      </c>
      <c r="C129" s="141" t="s">
        <v>656</v>
      </c>
      <c r="D129" s="141">
        <v>1231015</v>
      </c>
      <c r="E129" s="141" t="s">
        <v>657</v>
      </c>
      <c r="F129" s="141" t="s">
        <v>658</v>
      </c>
      <c r="G129" s="141" t="s">
        <v>659</v>
      </c>
      <c r="H129" s="141" t="s">
        <v>660</v>
      </c>
      <c r="I129" s="141" t="s">
        <v>965</v>
      </c>
      <c r="J129" s="141" t="s">
        <v>662</v>
      </c>
      <c r="K129" s="141" t="s">
        <v>966</v>
      </c>
      <c r="L129" s="141" t="s">
        <v>51</v>
      </c>
      <c r="M129" s="141" t="s">
        <v>967</v>
      </c>
      <c r="N129" s="141" t="s">
        <v>654</v>
      </c>
      <c r="O129" s="141" t="s">
        <v>799</v>
      </c>
      <c r="P129"/>
      <c r="Q129"/>
    </row>
    <row r="130" spans="1:19">
      <c r="A130" t="str">
        <f t="shared" si="15"/>
        <v>10-15</v>
      </c>
      <c r="B130" t="str">
        <f t="shared" si="16"/>
        <v>USD</v>
      </c>
      <c r="C130" s="141" t="s">
        <v>656</v>
      </c>
      <c r="D130" s="141">
        <v>1231015</v>
      </c>
      <c r="E130" s="141" t="s">
        <v>657</v>
      </c>
      <c r="F130" s="141" t="s">
        <v>658</v>
      </c>
      <c r="G130" s="141" t="s">
        <v>659</v>
      </c>
      <c r="H130" s="141" t="s">
        <v>660</v>
      </c>
      <c r="I130" s="141" t="s">
        <v>968</v>
      </c>
      <c r="J130" s="141" t="s">
        <v>662</v>
      </c>
      <c r="K130" s="141" t="s">
        <v>969</v>
      </c>
      <c r="L130" s="141" t="s">
        <v>51</v>
      </c>
      <c r="M130" s="141" t="s">
        <v>967</v>
      </c>
      <c r="N130" s="141" t="s">
        <v>654</v>
      </c>
      <c r="O130" s="141" t="s">
        <v>799</v>
      </c>
      <c r="P130"/>
      <c r="Q130"/>
    </row>
    <row r="131" spans="1:19">
      <c r="A131" t="str">
        <f t="shared" si="15"/>
        <v>10-15</v>
      </c>
      <c r="B131" t="str">
        <f t="shared" si="16"/>
        <v>USD</v>
      </c>
      <c r="C131" s="141" t="s">
        <v>656</v>
      </c>
      <c r="D131" s="141">
        <v>1231015</v>
      </c>
      <c r="E131" s="141" t="s">
        <v>657</v>
      </c>
      <c r="F131" s="141" t="s">
        <v>658</v>
      </c>
      <c r="G131" s="141" t="s">
        <v>659</v>
      </c>
      <c r="H131" s="141" t="s">
        <v>660</v>
      </c>
      <c r="I131" s="141" t="s">
        <v>970</v>
      </c>
      <c r="J131" s="141" t="s">
        <v>662</v>
      </c>
      <c r="K131" s="141" t="s">
        <v>971</v>
      </c>
      <c r="L131" s="141" t="s">
        <v>51</v>
      </c>
      <c r="M131" s="141" t="s">
        <v>967</v>
      </c>
      <c r="N131" s="141" t="s">
        <v>654</v>
      </c>
      <c r="O131" s="141" t="s">
        <v>799</v>
      </c>
      <c r="P131"/>
      <c r="Q131"/>
    </row>
    <row r="132" spans="1:19">
      <c r="A132" t="str">
        <f t="shared" si="15"/>
        <v>10-15</v>
      </c>
      <c r="B132" t="str">
        <f t="shared" si="16"/>
        <v>USD</v>
      </c>
      <c r="C132" s="141" t="s">
        <v>656</v>
      </c>
      <c r="D132" s="141">
        <v>1231015</v>
      </c>
      <c r="E132" s="141" t="s">
        <v>657</v>
      </c>
      <c r="F132" s="141" t="s">
        <v>658</v>
      </c>
      <c r="G132" s="141" t="s">
        <v>659</v>
      </c>
      <c r="H132" s="141" t="s">
        <v>660</v>
      </c>
      <c r="I132" s="141" t="s">
        <v>972</v>
      </c>
      <c r="J132" s="141" t="s">
        <v>662</v>
      </c>
      <c r="K132" s="141" t="s">
        <v>973</v>
      </c>
      <c r="L132" s="141" t="s">
        <v>51</v>
      </c>
      <c r="M132" s="141" t="s">
        <v>967</v>
      </c>
      <c r="N132" s="141" t="s">
        <v>654</v>
      </c>
      <c r="O132" s="141" t="s">
        <v>799</v>
      </c>
      <c r="P132"/>
      <c r="Q132"/>
    </row>
    <row r="133" spans="1:19">
      <c r="A133" t="str">
        <f t="shared" si="15"/>
        <v>10-15</v>
      </c>
      <c r="B133" t="str">
        <f t="shared" si="16"/>
        <v>USD</v>
      </c>
      <c r="C133" s="141" t="s">
        <v>656</v>
      </c>
      <c r="D133" s="141">
        <v>1231015</v>
      </c>
      <c r="E133" s="141" t="s">
        <v>657</v>
      </c>
      <c r="F133" s="141" t="s">
        <v>658</v>
      </c>
      <c r="G133" s="141" t="s">
        <v>659</v>
      </c>
      <c r="H133" s="141" t="s">
        <v>660</v>
      </c>
      <c r="I133" s="141" t="s">
        <v>974</v>
      </c>
      <c r="J133" s="141" t="s">
        <v>662</v>
      </c>
      <c r="K133" s="141" t="s">
        <v>975</v>
      </c>
      <c r="L133" s="141" t="s">
        <v>51</v>
      </c>
      <c r="M133" s="141" t="s">
        <v>967</v>
      </c>
      <c r="N133" s="141" t="s">
        <v>654</v>
      </c>
      <c r="O133" s="141" t="s">
        <v>799</v>
      </c>
      <c r="P133"/>
      <c r="Q133"/>
    </row>
    <row r="134" spans="1:19">
      <c r="A134" t="str">
        <f t="shared" si="15"/>
        <v>10-15</v>
      </c>
      <c r="B134" t="str">
        <f t="shared" si="16"/>
        <v>USD</v>
      </c>
      <c r="C134" s="141" t="s">
        <v>656</v>
      </c>
      <c r="D134" s="141">
        <v>1231015</v>
      </c>
      <c r="E134" s="141" t="s">
        <v>657</v>
      </c>
      <c r="F134" s="141" t="s">
        <v>658</v>
      </c>
      <c r="G134" s="141" t="s">
        <v>659</v>
      </c>
      <c r="H134" s="141" t="s">
        <v>660</v>
      </c>
      <c r="I134" s="141" t="s">
        <v>976</v>
      </c>
      <c r="J134" s="141" t="s">
        <v>662</v>
      </c>
      <c r="K134" s="141" t="s">
        <v>977</v>
      </c>
      <c r="L134" s="141" t="s">
        <v>51</v>
      </c>
      <c r="M134" s="141" t="s">
        <v>967</v>
      </c>
      <c r="N134" s="141" t="s">
        <v>654</v>
      </c>
      <c r="O134" s="141" t="s">
        <v>799</v>
      </c>
      <c r="P134"/>
      <c r="Q134"/>
    </row>
    <row r="135" spans="1:19">
      <c r="A135" t="str">
        <f t="shared" si="15"/>
        <v>10-15</v>
      </c>
      <c r="B135" t="str">
        <f t="shared" si="16"/>
        <v>USD</v>
      </c>
      <c r="C135" s="141" t="s">
        <v>656</v>
      </c>
      <c r="D135" s="141">
        <v>1231015</v>
      </c>
      <c r="E135" s="141" t="s">
        <v>657</v>
      </c>
      <c r="F135" s="141" t="s">
        <v>658</v>
      </c>
      <c r="G135" s="141" t="s">
        <v>659</v>
      </c>
      <c r="H135" s="141" t="s">
        <v>660</v>
      </c>
      <c r="I135" s="141" t="s">
        <v>978</v>
      </c>
      <c r="J135" s="141" t="s">
        <v>662</v>
      </c>
      <c r="K135" s="141" t="s">
        <v>979</v>
      </c>
      <c r="L135" s="141" t="s">
        <v>51</v>
      </c>
      <c r="M135" s="141" t="s">
        <v>967</v>
      </c>
      <c r="N135" s="141" t="s">
        <v>654</v>
      </c>
      <c r="O135" s="141" t="s">
        <v>799</v>
      </c>
      <c r="P135"/>
      <c r="Q135"/>
    </row>
    <row r="136" spans="1:19">
      <c r="A136" t="str">
        <f t="shared" si="15"/>
        <v>10-15</v>
      </c>
      <c r="B136" t="str">
        <f t="shared" si="16"/>
        <v>USD</v>
      </c>
      <c r="C136" s="141" t="s">
        <v>656</v>
      </c>
      <c r="D136" s="141">
        <v>1231015</v>
      </c>
      <c r="E136" s="141" t="s">
        <v>657</v>
      </c>
      <c r="F136" s="141" t="s">
        <v>658</v>
      </c>
      <c r="G136" s="141" t="s">
        <v>659</v>
      </c>
      <c r="H136" s="141" t="s">
        <v>660</v>
      </c>
      <c r="I136" s="141" t="s">
        <v>980</v>
      </c>
      <c r="J136" s="141" t="s">
        <v>662</v>
      </c>
      <c r="K136" s="141" t="s">
        <v>981</v>
      </c>
      <c r="L136" s="141" t="s">
        <v>51</v>
      </c>
      <c r="M136" s="141" t="s">
        <v>967</v>
      </c>
      <c r="N136" s="141" t="s">
        <v>654</v>
      </c>
      <c r="O136" s="141" t="s">
        <v>799</v>
      </c>
      <c r="P136"/>
      <c r="Q136"/>
    </row>
    <row r="137" spans="1:19">
      <c r="A137" t="str">
        <f t="shared" si="15"/>
        <v>10-16</v>
      </c>
      <c r="B137" t="str">
        <f t="shared" si="16"/>
        <v>USD</v>
      </c>
      <c r="C137" s="141" t="s">
        <v>656</v>
      </c>
      <c r="D137" s="141">
        <v>1231016</v>
      </c>
      <c r="E137" s="141" t="s">
        <v>657</v>
      </c>
      <c r="F137" s="141" t="s">
        <v>882</v>
      </c>
      <c r="G137" s="141" t="s">
        <v>659</v>
      </c>
      <c r="H137" s="141" t="s">
        <v>660</v>
      </c>
      <c r="I137" s="141" t="s">
        <v>1003</v>
      </c>
      <c r="J137" s="141" t="s">
        <v>662</v>
      </c>
      <c r="K137" s="141" t="s">
        <v>1004</v>
      </c>
      <c r="L137" s="141" t="s">
        <v>79</v>
      </c>
      <c r="M137" s="141" t="s">
        <v>1005</v>
      </c>
      <c r="N137" s="141" t="s">
        <v>654</v>
      </c>
      <c r="O137" s="141" t="s">
        <v>655</v>
      </c>
      <c r="R137"/>
      <c r="S137"/>
    </row>
    <row r="138" spans="1:19">
      <c r="A138" s="32" t="str">
        <f t="shared" si="15"/>
        <v>10-16</v>
      </c>
      <c r="B138" s="32" t="str">
        <f t="shared" si="16"/>
        <v>USD</v>
      </c>
      <c r="C138" s="141" t="s">
        <v>656</v>
      </c>
      <c r="D138" s="141">
        <v>1231016</v>
      </c>
      <c r="E138" s="141" t="s">
        <v>657</v>
      </c>
      <c r="F138" s="141" t="s">
        <v>882</v>
      </c>
      <c r="G138" s="141" t="s">
        <v>659</v>
      </c>
      <c r="H138" s="141" t="s">
        <v>660</v>
      </c>
      <c r="I138" s="141" t="s">
        <v>1006</v>
      </c>
      <c r="J138" s="141" t="s">
        <v>662</v>
      </c>
      <c r="K138" s="141" t="s">
        <v>1007</v>
      </c>
      <c r="L138" s="141" t="s">
        <v>64</v>
      </c>
      <c r="M138" s="141" t="s">
        <v>885</v>
      </c>
      <c r="N138" s="141" t="s">
        <v>654</v>
      </c>
      <c r="O138" s="141" t="s">
        <v>799</v>
      </c>
    </row>
    <row r="139" spans="1:19">
      <c r="A139" t="str">
        <f t="shared" si="15"/>
        <v>10-16</v>
      </c>
      <c r="B139" t="str">
        <f t="shared" si="16"/>
        <v>USD</v>
      </c>
      <c r="C139" s="141" t="s">
        <v>656</v>
      </c>
      <c r="D139" s="141">
        <v>1231016</v>
      </c>
      <c r="E139" s="141" t="s">
        <v>657</v>
      </c>
      <c r="F139" s="141" t="s">
        <v>988</v>
      </c>
      <c r="G139" s="141" t="s">
        <v>989</v>
      </c>
      <c r="H139" s="141" t="s">
        <v>990</v>
      </c>
      <c r="I139" s="141" t="s">
        <v>991</v>
      </c>
      <c r="J139" s="141" t="s">
        <v>662</v>
      </c>
      <c r="K139" s="141" t="s">
        <v>992</v>
      </c>
      <c r="L139" s="141" t="s">
        <v>68</v>
      </c>
      <c r="M139" s="141" t="s">
        <v>956</v>
      </c>
      <c r="N139" s="141" t="s">
        <v>654</v>
      </c>
      <c r="O139" s="141" t="s">
        <v>665</v>
      </c>
      <c r="P139"/>
      <c r="Q139"/>
    </row>
    <row r="140" spans="1:19">
      <c r="A140" t="str">
        <f t="shared" si="15"/>
        <v>10-16</v>
      </c>
      <c r="B140" t="str">
        <f t="shared" si="16"/>
        <v>USD</v>
      </c>
      <c r="C140" s="141" t="s">
        <v>656</v>
      </c>
      <c r="D140" s="141">
        <v>1231016</v>
      </c>
      <c r="E140" s="141" t="s">
        <v>657</v>
      </c>
      <c r="F140" s="141" t="s">
        <v>988</v>
      </c>
      <c r="G140" s="141" t="s">
        <v>989</v>
      </c>
      <c r="H140" s="141" t="s">
        <v>990</v>
      </c>
      <c r="I140" s="141" t="s">
        <v>993</v>
      </c>
      <c r="J140" s="141" t="s">
        <v>662</v>
      </c>
      <c r="K140" s="141" t="s">
        <v>994</v>
      </c>
      <c r="L140" s="141" t="s">
        <v>68</v>
      </c>
      <c r="M140" s="141" t="s">
        <v>956</v>
      </c>
      <c r="N140" s="141" t="s">
        <v>654</v>
      </c>
      <c r="O140" s="141" t="s">
        <v>665</v>
      </c>
      <c r="P140"/>
      <c r="Q140"/>
    </row>
    <row r="141" spans="1:19">
      <c r="A141" t="str">
        <f t="shared" si="15"/>
        <v>10-16</v>
      </c>
      <c r="B141" t="str">
        <f t="shared" si="16"/>
        <v>USD</v>
      </c>
      <c r="C141" s="141" t="s">
        <v>656</v>
      </c>
      <c r="D141" s="141">
        <v>1231016</v>
      </c>
      <c r="E141" s="141" t="s">
        <v>657</v>
      </c>
      <c r="F141" s="141" t="s">
        <v>988</v>
      </c>
      <c r="G141" s="141" t="s">
        <v>989</v>
      </c>
      <c r="H141" s="141" t="s">
        <v>990</v>
      </c>
      <c r="I141" s="141" t="s">
        <v>995</v>
      </c>
      <c r="J141" s="141" t="s">
        <v>662</v>
      </c>
      <c r="K141" s="141" t="s">
        <v>996</v>
      </c>
      <c r="L141" s="141" t="s">
        <v>68</v>
      </c>
      <c r="M141" s="141" t="s">
        <v>956</v>
      </c>
      <c r="N141" s="141" t="s">
        <v>654</v>
      </c>
      <c r="O141" s="141" t="s">
        <v>665</v>
      </c>
      <c r="P141"/>
      <c r="Q141"/>
    </row>
    <row r="142" spans="1:19">
      <c r="A142" t="str">
        <f t="shared" si="15"/>
        <v>10-16</v>
      </c>
      <c r="B142" t="str">
        <f t="shared" si="16"/>
        <v>USD</v>
      </c>
      <c r="C142" s="141" t="s">
        <v>656</v>
      </c>
      <c r="D142" s="141">
        <v>1231016</v>
      </c>
      <c r="E142" s="141" t="s">
        <v>657</v>
      </c>
      <c r="F142" s="141" t="s">
        <v>988</v>
      </c>
      <c r="G142" s="141" t="s">
        <v>989</v>
      </c>
      <c r="H142" s="141" t="s">
        <v>990</v>
      </c>
      <c r="I142" s="141" t="s">
        <v>997</v>
      </c>
      <c r="J142" s="141" t="s">
        <v>662</v>
      </c>
      <c r="K142" s="141" t="s">
        <v>998</v>
      </c>
      <c r="L142" s="141" t="s">
        <v>68</v>
      </c>
      <c r="M142" s="141" t="s">
        <v>956</v>
      </c>
      <c r="N142" s="141" t="s">
        <v>654</v>
      </c>
      <c r="O142" s="141" t="s">
        <v>665</v>
      </c>
      <c r="P142"/>
      <c r="Q142"/>
    </row>
    <row r="143" spans="1:19">
      <c r="A143" t="str">
        <f t="shared" si="15"/>
        <v>10-16</v>
      </c>
      <c r="B143" t="str">
        <f t="shared" si="16"/>
        <v>USD</v>
      </c>
      <c r="C143" s="141" t="s">
        <v>656</v>
      </c>
      <c r="D143" s="141">
        <v>1231016</v>
      </c>
      <c r="E143" s="141" t="s">
        <v>657</v>
      </c>
      <c r="F143" s="141" t="s">
        <v>988</v>
      </c>
      <c r="G143" s="141" t="s">
        <v>989</v>
      </c>
      <c r="H143" s="141" t="s">
        <v>990</v>
      </c>
      <c r="I143" s="141" t="s">
        <v>999</v>
      </c>
      <c r="J143" s="141" t="s">
        <v>662</v>
      </c>
      <c r="K143" s="141" t="s">
        <v>1000</v>
      </c>
      <c r="L143" s="141" t="s">
        <v>68</v>
      </c>
      <c r="M143" s="141" t="s">
        <v>956</v>
      </c>
      <c r="N143" s="141" t="s">
        <v>654</v>
      </c>
      <c r="O143" s="141" t="s">
        <v>665</v>
      </c>
      <c r="P143"/>
      <c r="Q143"/>
    </row>
    <row r="144" spans="1:19">
      <c r="A144" t="str">
        <f t="shared" si="15"/>
        <v>10-16</v>
      </c>
      <c r="B144" t="str">
        <f t="shared" si="16"/>
        <v>USD</v>
      </c>
      <c r="C144" s="141" t="s">
        <v>656</v>
      </c>
      <c r="D144" s="141">
        <v>1231016</v>
      </c>
      <c r="E144" s="141" t="s">
        <v>657</v>
      </c>
      <c r="F144" s="141" t="s">
        <v>988</v>
      </c>
      <c r="G144" s="141" t="s">
        <v>989</v>
      </c>
      <c r="H144" s="141" t="s">
        <v>990</v>
      </c>
      <c r="I144" s="141" t="s">
        <v>1001</v>
      </c>
      <c r="J144" s="141" t="s">
        <v>662</v>
      </c>
      <c r="K144" s="141" t="s">
        <v>1002</v>
      </c>
      <c r="L144" s="141" t="s">
        <v>68</v>
      </c>
      <c r="M144" s="141" t="s">
        <v>956</v>
      </c>
      <c r="N144" s="141" t="s">
        <v>654</v>
      </c>
      <c r="O144" s="141" t="s">
        <v>665</v>
      </c>
      <c r="P144"/>
      <c r="Q144"/>
    </row>
    <row r="145" spans="1:19">
      <c r="A145" t="str">
        <f t="shared" si="15"/>
        <v>10-16</v>
      </c>
      <c r="B145" t="str">
        <f t="shared" si="16"/>
        <v>USD</v>
      </c>
      <c r="C145" s="141" t="s">
        <v>656</v>
      </c>
      <c r="D145" s="141">
        <v>1231016</v>
      </c>
      <c r="E145" s="141" t="s">
        <v>657</v>
      </c>
      <c r="F145" s="141" t="s">
        <v>982</v>
      </c>
      <c r="G145" s="141" t="s">
        <v>983</v>
      </c>
      <c r="H145" s="141" t="s">
        <v>984</v>
      </c>
      <c r="I145" s="141" t="s">
        <v>985</v>
      </c>
      <c r="J145" s="141" t="s">
        <v>662</v>
      </c>
      <c r="K145" s="141" t="s">
        <v>986</v>
      </c>
      <c r="L145" s="141" t="s">
        <v>98</v>
      </c>
      <c r="M145" s="141" t="s">
        <v>987</v>
      </c>
      <c r="N145" s="141" t="s">
        <v>654</v>
      </c>
      <c r="O145" s="141" t="s">
        <v>665</v>
      </c>
      <c r="S145"/>
    </row>
    <row r="146" spans="1:19">
      <c r="A146" t="str">
        <f t="shared" ref="A146:A152" si="17">MID(D146,(LEN(D146)-3),2)&amp;"-"&amp;MID(D146,(LEN(D146)-1),2)</f>
        <v>10-17</v>
      </c>
      <c r="B146" t="str">
        <f t="shared" ref="B146:B152" si="18">IF(H146="AU","AUD","USD")</f>
        <v>USD</v>
      </c>
      <c r="C146" s="141" t="s">
        <v>656</v>
      </c>
      <c r="D146" s="141">
        <v>1231017</v>
      </c>
      <c r="E146" s="141" t="s">
        <v>657</v>
      </c>
      <c r="F146" s="141" t="s">
        <v>824</v>
      </c>
      <c r="G146" s="141" t="s">
        <v>825</v>
      </c>
      <c r="H146" s="141" t="s">
        <v>813</v>
      </c>
      <c r="I146" s="141" t="s">
        <v>1008</v>
      </c>
      <c r="J146" s="141" t="s">
        <v>662</v>
      </c>
      <c r="K146" s="141" t="s">
        <v>1009</v>
      </c>
      <c r="L146" s="141" t="s">
        <v>245</v>
      </c>
      <c r="M146" s="141" t="s">
        <v>835</v>
      </c>
      <c r="N146" s="141" t="s">
        <v>654</v>
      </c>
      <c r="O146" s="141" t="s">
        <v>714</v>
      </c>
      <c r="S146"/>
    </row>
    <row r="147" spans="1:19">
      <c r="A147" t="str">
        <f t="shared" si="17"/>
        <v>10-17</v>
      </c>
      <c r="B147" t="str">
        <f t="shared" si="18"/>
        <v>USD</v>
      </c>
      <c r="C147" s="141" t="s">
        <v>656</v>
      </c>
      <c r="D147" s="141">
        <v>1231017</v>
      </c>
      <c r="E147" s="141" t="s">
        <v>657</v>
      </c>
      <c r="F147" s="141" t="s">
        <v>824</v>
      </c>
      <c r="G147" s="141" t="s">
        <v>825</v>
      </c>
      <c r="H147" s="141" t="s">
        <v>813</v>
      </c>
      <c r="I147" s="141" t="s">
        <v>1012</v>
      </c>
      <c r="J147" s="141" t="s">
        <v>662</v>
      </c>
      <c r="K147" s="141" t="s">
        <v>1013</v>
      </c>
      <c r="L147" s="141" t="s">
        <v>245</v>
      </c>
      <c r="M147" s="141" t="s">
        <v>835</v>
      </c>
      <c r="N147" s="141" t="s">
        <v>654</v>
      </c>
      <c r="O147" s="141" t="s">
        <v>714</v>
      </c>
      <c r="S147"/>
    </row>
    <row r="148" spans="1:19">
      <c r="A148" t="str">
        <f t="shared" si="17"/>
        <v>10-17</v>
      </c>
      <c r="B148" t="str">
        <f t="shared" si="18"/>
        <v>USD</v>
      </c>
      <c r="C148" s="141" t="s">
        <v>656</v>
      </c>
      <c r="D148" s="141">
        <v>1231017</v>
      </c>
      <c r="E148" s="141" t="s">
        <v>657</v>
      </c>
      <c r="F148" s="141" t="s">
        <v>824</v>
      </c>
      <c r="G148" s="141" t="s">
        <v>825</v>
      </c>
      <c r="H148" s="141" t="s">
        <v>813</v>
      </c>
      <c r="I148" s="141" t="s">
        <v>1014</v>
      </c>
      <c r="J148" s="141" t="s">
        <v>662</v>
      </c>
      <c r="K148" s="141" t="s">
        <v>1015</v>
      </c>
      <c r="L148" s="141" t="s">
        <v>245</v>
      </c>
      <c r="M148" s="141" t="s">
        <v>835</v>
      </c>
      <c r="N148" s="141" t="s">
        <v>654</v>
      </c>
      <c r="O148" s="141" t="s">
        <v>714</v>
      </c>
      <c r="S148"/>
    </row>
    <row r="149" spans="1:19">
      <c r="A149" t="str">
        <f t="shared" si="17"/>
        <v>10-17</v>
      </c>
      <c r="B149" t="str">
        <f t="shared" si="18"/>
        <v>USD</v>
      </c>
      <c r="C149" s="141" t="s">
        <v>656</v>
      </c>
      <c r="D149" s="141">
        <v>1231017</v>
      </c>
      <c r="E149" s="141" t="s">
        <v>657</v>
      </c>
      <c r="F149" s="141" t="s">
        <v>824</v>
      </c>
      <c r="G149" s="141" t="s">
        <v>825</v>
      </c>
      <c r="H149" s="141" t="s">
        <v>813</v>
      </c>
      <c r="I149" s="141" t="s">
        <v>1016</v>
      </c>
      <c r="J149" s="141" t="s">
        <v>662</v>
      </c>
      <c r="K149" s="141" t="s">
        <v>1017</v>
      </c>
      <c r="L149" s="141" t="s">
        <v>245</v>
      </c>
      <c r="M149" s="141" t="s">
        <v>835</v>
      </c>
      <c r="N149" s="141" t="s">
        <v>654</v>
      </c>
      <c r="O149" s="141" t="s">
        <v>714</v>
      </c>
      <c r="S149"/>
    </row>
    <row r="150" spans="1:19">
      <c r="A150" t="str">
        <f t="shared" si="17"/>
        <v>10-17</v>
      </c>
      <c r="B150" t="str">
        <f t="shared" si="18"/>
        <v>USD</v>
      </c>
      <c r="C150" s="141" t="s">
        <v>656</v>
      </c>
      <c r="D150" s="141">
        <v>1231017</v>
      </c>
      <c r="E150" s="141" t="s">
        <v>657</v>
      </c>
      <c r="F150" s="141" t="s">
        <v>824</v>
      </c>
      <c r="G150" s="141" t="s">
        <v>825</v>
      </c>
      <c r="H150" s="141" t="s">
        <v>813</v>
      </c>
      <c r="I150" s="141" t="s">
        <v>1018</v>
      </c>
      <c r="J150" s="141" t="s">
        <v>662</v>
      </c>
      <c r="K150" s="141" t="s">
        <v>1019</v>
      </c>
      <c r="L150" s="141" t="s">
        <v>245</v>
      </c>
      <c r="M150" s="141" t="s">
        <v>835</v>
      </c>
      <c r="N150" s="141" t="s">
        <v>654</v>
      </c>
      <c r="O150" s="141" t="s">
        <v>714</v>
      </c>
      <c r="S150"/>
    </row>
    <row r="151" spans="1:19">
      <c r="A151" t="str">
        <f t="shared" si="17"/>
        <v>10-17</v>
      </c>
      <c r="B151" t="str">
        <f t="shared" si="18"/>
        <v>USD</v>
      </c>
      <c r="C151" s="141" t="s">
        <v>656</v>
      </c>
      <c r="D151" s="141">
        <v>1231017</v>
      </c>
      <c r="E151" s="141" t="s">
        <v>657</v>
      </c>
      <c r="F151" s="141" t="s">
        <v>824</v>
      </c>
      <c r="G151" s="141" t="s">
        <v>825</v>
      </c>
      <c r="H151" s="141" t="s">
        <v>813</v>
      </c>
      <c r="I151" s="141" t="s">
        <v>1020</v>
      </c>
      <c r="J151" s="141" t="s">
        <v>662</v>
      </c>
      <c r="K151" s="141" t="s">
        <v>1021</v>
      </c>
      <c r="L151" s="141" t="s">
        <v>245</v>
      </c>
      <c r="M151" s="141" t="s">
        <v>835</v>
      </c>
      <c r="N151" s="141" t="s">
        <v>654</v>
      </c>
      <c r="O151" s="141" t="s">
        <v>714</v>
      </c>
      <c r="S151"/>
    </row>
    <row r="152" spans="1:19">
      <c r="A152" t="str">
        <f t="shared" si="17"/>
        <v>10-17</v>
      </c>
      <c r="B152" t="str">
        <f t="shared" si="18"/>
        <v>USD</v>
      </c>
      <c r="C152" s="141" t="s">
        <v>656</v>
      </c>
      <c r="D152" s="141">
        <v>1231017</v>
      </c>
      <c r="E152" s="141" t="s">
        <v>657</v>
      </c>
      <c r="F152" s="141" t="s">
        <v>824</v>
      </c>
      <c r="G152" s="141" t="s">
        <v>825</v>
      </c>
      <c r="H152" s="141" t="s">
        <v>813</v>
      </c>
      <c r="I152" s="141" t="s">
        <v>1022</v>
      </c>
      <c r="J152" s="141" t="s">
        <v>662</v>
      </c>
      <c r="K152" s="141" t="s">
        <v>1023</v>
      </c>
      <c r="L152" s="141" t="s">
        <v>245</v>
      </c>
      <c r="M152" s="141" t="s">
        <v>835</v>
      </c>
      <c r="N152" s="141" t="s">
        <v>654</v>
      </c>
      <c r="O152" s="141" t="s">
        <v>714</v>
      </c>
      <c r="R152"/>
      <c r="S152"/>
    </row>
    <row r="153" spans="1:19">
      <c r="A153" t="str">
        <f t="shared" ref="A153:A156" si="19">MID(D153,(LEN(D153)-3),2)&amp;"-"&amp;MID(D153,(LEN(D153)-1),2)</f>
        <v>10-17</v>
      </c>
      <c r="B153" t="str">
        <f t="shared" ref="B153:B156" si="20">IF(H153="AU","AUD","USD")</f>
        <v>USD</v>
      </c>
      <c r="C153" s="141" t="s">
        <v>656</v>
      </c>
      <c r="D153" s="141">
        <v>1231017</v>
      </c>
      <c r="E153" s="141" t="s">
        <v>657</v>
      </c>
      <c r="F153" s="141" t="s">
        <v>824</v>
      </c>
      <c r="G153" s="141" t="s">
        <v>825</v>
      </c>
      <c r="H153" s="141" t="s">
        <v>813</v>
      </c>
      <c r="I153" s="141" t="s">
        <v>1024</v>
      </c>
      <c r="J153" s="141" t="s">
        <v>662</v>
      </c>
      <c r="K153" s="141" t="s">
        <v>1025</v>
      </c>
      <c r="L153" s="141" t="s">
        <v>245</v>
      </c>
      <c r="M153" s="141" t="s">
        <v>835</v>
      </c>
      <c r="N153" s="141" t="s">
        <v>654</v>
      </c>
      <c r="O153" s="141" t="s">
        <v>714</v>
      </c>
      <c r="R153"/>
      <c r="S153"/>
    </row>
    <row r="154" spans="1:19">
      <c r="A154" t="str">
        <f t="shared" si="19"/>
        <v>10-17</v>
      </c>
      <c r="B154" t="str">
        <f t="shared" si="20"/>
        <v>USD</v>
      </c>
      <c r="C154" s="141" t="s">
        <v>656</v>
      </c>
      <c r="D154" s="141">
        <v>1231017</v>
      </c>
      <c r="E154" s="141" t="s">
        <v>657</v>
      </c>
      <c r="F154" s="141" t="s">
        <v>824</v>
      </c>
      <c r="G154" s="141" t="s">
        <v>825</v>
      </c>
      <c r="H154" s="141" t="s">
        <v>813</v>
      </c>
      <c r="I154" s="141" t="s">
        <v>1026</v>
      </c>
      <c r="J154" s="141" t="s">
        <v>662</v>
      </c>
      <c r="K154" s="141" t="s">
        <v>1027</v>
      </c>
      <c r="L154" s="141" t="s">
        <v>245</v>
      </c>
      <c r="M154" s="141" t="s">
        <v>835</v>
      </c>
      <c r="N154" s="141" t="s">
        <v>654</v>
      </c>
      <c r="O154" s="141" t="s">
        <v>714</v>
      </c>
      <c r="R154"/>
      <c r="S154"/>
    </row>
    <row r="155" spans="1:19">
      <c r="A155" t="str">
        <f t="shared" si="19"/>
        <v>10-17</v>
      </c>
      <c r="B155" t="str">
        <f t="shared" si="20"/>
        <v>USD</v>
      </c>
      <c r="C155" s="141" t="s">
        <v>656</v>
      </c>
      <c r="D155" s="141">
        <v>1231017</v>
      </c>
      <c r="E155" s="141" t="s">
        <v>657</v>
      </c>
      <c r="F155" s="141" t="s">
        <v>824</v>
      </c>
      <c r="G155" s="141" t="s">
        <v>825</v>
      </c>
      <c r="H155" s="141" t="s">
        <v>813</v>
      </c>
      <c r="I155" s="141" t="s">
        <v>1010</v>
      </c>
      <c r="J155" s="141" t="s">
        <v>662</v>
      </c>
      <c r="K155" s="141" t="s">
        <v>1011</v>
      </c>
      <c r="L155" s="141" t="s">
        <v>245</v>
      </c>
      <c r="M155" s="141" t="s">
        <v>835</v>
      </c>
      <c r="N155" s="141" t="s">
        <v>654</v>
      </c>
      <c r="O155" s="141" t="s">
        <v>714</v>
      </c>
      <c r="R155"/>
      <c r="S155"/>
    </row>
    <row r="156" spans="1:19">
      <c r="A156" t="str">
        <f t="shared" si="19"/>
        <v>10-17</v>
      </c>
      <c r="B156" t="str">
        <f t="shared" si="20"/>
        <v>USD</v>
      </c>
      <c r="C156" s="141" t="s">
        <v>656</v>
      </c>
      <c r="D156" s="141">
        <v>1231017</v>
      </c>
      <c r="E156" s="141" t="s">
        <v>707</v>
      </c>
      <c r="F156" s="141" t="s">
        <v>1028</v>
      </c>
      <c r="G156" s="141" t="s">
        <v>1029</v>
      </c>
      <c r="H156" s="141" t="s">
        <v>1030</v>
      </c>
      <c r="I156" s="141" t="s">
        <v>1031</v>
      </c>
      <c r="J156" s="141" t="s">
        <v>662</v>
      </c>
      <c r="K156" s="141" t="s">
        <v>1032</v>
      </c>
      <c r="L156" s="141" t="s">
        <v>58</v>
      </c>
      <c r="M156" s="141" t="s">
        <v>1033</v>
      </c>
      <c r="N156" s="141" t="s">
        <v>654</v>
      </c>
      <c r="O156" s="141" t="s">
        <v>665</v>
      </c>
      <c r="R156"/>
      <c r="S156"/>
    </row>
    <row r="157" spans="1:19">
      <c r="A157" t="str">
        <f t="shared" ref="A157:A211" si="21">MID(D157,(LEN(D157)-3),2)&amp;"-"&amp;MID(D157,(LEN(D157)-1),2)</f>
        <v>10-17</v>
      </c>
      <c r="B157" t="str">
        <f t="shared" ref="B157:B211" si="22">IF(H157="AU","AUD","USD")</f>
        <v>USD</v>
      </c>
      <c r="C157" s="141" t="s">
        <v>656</v>
      </c>
      <c r="D157" s="141">
        <v>1231017</v>
      </c>
      <c r="E157" s="141" t="s">
        <v>707</v>
      </c>
      <c r="F157" s="141" t="s">
        <v>1028</v>
      </c>
      <c r="G157" s="141" t="s">
        <v>1029</v>
      </c>
      <c r="H157" s="141" t="s">
        <v>1030</v>
      </c>
      <c r="I157" s="141" t="s">
        <v>1034</v>
      </c>
      <c r="J157" s="141" t="s">
        <v>662</v>
      </c>
      <c r="K157" s="141" t="s">
        <v>1035</v>
      </c>
      <c r="L157" s="141" t="s">
        <v>58</v>
      </c>
      <c r="M157" s="141" t="s">
        <v>1033</v>
      </c>
      <c r="N157" s="141" t="s">
        <v>654</v>
      </c>
      <c r="O157" s="141" t="s">
        <v>665</v>
      </c>
      <c r="R157"/>
      <c r="S157"/>
    </row>
    <row r="158" spans="1:19">
      <c r="A158" t="str">
        <f t="shared" si="21"/>
        <v>10-17</v>
      </c>
      <c r="B158" t="str">
        <f t="shared" si="22"/>
        <v>USD</v>
      </c>
      <c r="C158" s="138" t="s">
        <v>656</v>
      </c>
      <c r="D158" s="138">
        <v>1231017</v>
      </c>
      <c r="E158" s="138" t="s">
        <v>707</v>
      </c>
      <c r="F158" s="138" t="s">
        <v>1028</v>
      </c>
      <c r="G158" s="138" t="s">
        <v>1029</v>
      </c>
      <c r="H158" s="138" t="s">
        <v>1030</v>
      </c>
      <c r="I158" s="138" t="s">
        <v>1036</v>
      </c>
      <c r="J158" s="138" t="s">
        <v>662</v>
      </c>
      <c r="K158" s="138" t="s">
        <v>1037</v>
      </c>
      <c r="L158" s="138" t="s">
        <v>639</v>
      </c>
      <c r="M158" s="138" t="s">
        <v>1038</v>
      </c>
      <c r="N158" s="138" t="s">
        <v>654</v>
      </c>
      <c r="O158" s="138" t="s">
        <v>1039</v>
      </c>
      <c r="R158"/>
      <c r="S158"/>
    </row>
    <row r="159" spans="1:19">
      <c r="A159" t="str">
        <f t="shared" si="21"/>
        <v>10-17</v>
      </c>
      <c r="B159" t="str">
        <f t="shared" si="22"/>
        <v>USD</v>
      </c>
      <c r="C159" s="138" t="s">
        <v>656</v>
      </c>
      <c r="D159" s="138">
        <v>1231017</v>
      </c>
      <c r="E159" s="138" t="s">
        <v>707</v>
      </c>
      <c r="F159" s="138" t="s">
        <v>1028</v>
      </c>
      <c r="G159" s="138" t="s">
        <v>1029</v>
      </c>
      <c r="H159" s="138" t="s">
        <v>1030</v>
      </c>
      <c r="I159" s="138" t="s">
        <v>1040</v>
      </c>
      <c r="J159" s="138" t="s">
        <v>662</v>
      </c>
      <c r="K159" s="138" t="s">
        <v>1041</v>
      </c>
      <c r="L159" s="138" t="s">
        <v>69</v>
      </c>
      <c r="M159" s="138" t="s">
        <v>1042</v>
      </c>
      <c r="N159" s="138" t="s">
        <v>654</v>
      </c>
      <c r="O159" s="138" t="s">
        <v>714</v>
      </c>
      <c r="R159"/>
      <c r="S159"/>
    </row>
    <row r="160" spans="1:19">
      <c r="A160" t="str">
        <f t="shared" si="21"/>
        <v>10-17</v>
      </c>
      <c r="B160" t="str">
        <f t="shared" si="22"/>
        <v>USD</v>
      </c>
      <c r="C160" s="138" t="s">
        <v>656</v>
      </c>
      <c r="D160" s="138">
        <v>1231017</v>
      </c>
      <c r="E160" s="138" t="s">
        <v>707</v>
      </c>
      <c r="F160" s="138" t="s">
        <v>1028</v>
      </c>
      <c r="G160" s="138" t="s">
        <v>1029</v>
      </c>
      <c r="H160" s="138" t="s">
        <v>1030</v>
      </c>
      <c r="I160" s="138" t="s">
        <v>1043</v>
      </c>
      <c r="J160" s="138" t="s">
        <v>662</v>
      </c>
      <c r="K160" s="138" t="s">
        <v>1044</v>
      </c>
      <c r="L160" s="138" t="s">
        <v>69</v>
      </c>
      <c r="M160" s="138" t="s">
        <v>1042</v>
      </c>
      <c r="N160" s="138" t="s">
        <v>654</v>
      </c>
      <c r="O160" s="138" t="s">
        <v>714</v>
      </c>
      <c r="R160"/>
      <c r="S160"/>
    </row>
    <row r="161" spans="1:19">
      <c r="A161" t="str">
        <f t="shared" si="21"/>
        <v>10-17</v>
      </c>
      <c r="B161" t="str">
        <f t="shared" si="22"/>
        <v>USD</v>
      </c>
      <c r="C161" s="138" t="s">
        <v>656</v>
      </c>
      <c r="D161" s="138">
        <v>1231017</v>
      </c>
      <c r="E161" s="138" t="s">
        <v>707</v>
      </c>
      <c r="F161" s="138" t="s">
        <v>1028</v>
      </c>
      <c r="G161" s="138" t="s">
        <v>1029</v>
      </c>
      <c r="H161" s="138" t="s">
        <v>1030</v>
      </c>
      <c r="I161" s="138" t="s">
        <v>1045</v>
      </c>
      <c r="J161" s="138" t="s">
        <v>662</v>
      </c>
      <c r="K161" s="138" t="s">
        <v>1046</v>
      </c>
      <c r="L161" s="138" t="s">
        <v>69</v>
      </c>
      <c r="M161" s="138" t="s">
        <v>1042</v>
      </c>
      <c r="N161" s="138" t="s">
        <v>654</v>
      </c>
      <c r="O161" s="138" t="s">
        <v>714</v>
      </c>
      <c r="R161"/>
      <c r="S161"/>
    </row>
    <row r="162" spans="1:19">
      <c r="A162" t="str">
        <f t="shared" si="21"/>
        <v>10-17</v>
      </c>
      <c r="B162" t="str">
        <f t="shared" si="22"/>
        <v>USD</v>
      </c>
      <c r="C162" s="138" t="s">
        <v>656</v>
      </c>
      <c r="D162" s="138">
        <v>1231017</v>
      </c>
      <c r="E162" s="138" t="s">
        <v>707</v>
      </c>
      <c r="F162" s="138" t="s">
        <v>1028</v>
      </c>
      <c r="G162" s="138" t="s">
        <v>1029</v>
      </c>
      <c r="H162" s="138" t="s">
        <v>1030</v>
      </c>
      <c r="I162" s="138" t="s">
        <v>1047</v>
      </c>
      <c r="J162" s="138" t="s">
        <v>662</v>
      </c>
      <c r="K162" s="138" t="s">
        <v>1048</v>
      </c>
      <c r="L162" s="138" t="s">
        <v>72</v>
      </c>
      <c r="M162" s="138" t="s">
        <v>1049</v>
      </c>
      <c r="N162" s="138" t="s">
        <v>654</v>
      </c>
      <c r="O162" s="138" t="s">
        <v>714</v>
      </c>
      <c r="R162"/>
      <c r="S162"/>
    </row>
    <row r="163" spans="1:19">
      <c r="A163" t="str">
        <f t="shared" si="21"/>
        <v>10-17</v>
      </c>
      <c r="B163" t="str">
        <f t="shared" si="22"/>
        <v>USD</v>
      </c>
      <c r="C163" s="138" t="s">
        <v>656</v>
      </c>
      <c r="D163" s="138">
        <v>1231017</v>
      </c>
      <c r="E163" s="138" t="s">
        <v>707</v>
      </c>
      <c r="F163" s="138" t="s">
        <v>1028</v>
      </c>
      <c r="G163" s="138" t="s">
        <v>1029</v>
      </c>
      <c r="H163" s="138" t="s">
        <v>1030</v>
      </c>
      <c r="I163" s="138" t="s">
        <v>1050</v>
      </c>
      <c r="J163" s="138" t="s">
        <v>662</v>
      </c>
      <c r="K163" s="138" t="s">
        <v>1051</v>
      </c>
      <c r="L163" s="138" t="s">
        <v>72</v>
      </c>
      <c r="M163" s="138" t="s">
        <v>1049</v>
      </c>
      <c r="N163" s="138" t="s">
        <v>654</v>
      </c>
      <c r="O163" s="138" t="s">
        <v>714</v>
      </c>
      <c r="R163"/>
      <c r="S163"/>
    </row>
    <row r="164" spans="1:19">
      <c r="A164" t="str">
        <f t="shared" si="21"/>
        <v>10-17</v>
      </c>
      <c r="B164" t="str">
        <f t="shared" si="22"/>
        <v>USD</v>
      </c>
      <c r="C164" s="138" t="s">
        <v>656</v>
      </c>
      <c r="D164" s="138">
        <v>1231017</v>
      </c>
      <c r="E164" s="138" t="s">
        <v>707</v>
      </c>
      <c r="F164" s="138" t="s">
        <v>1028</v>
      </c>
      <c r="G164" s="138" t="s">
        <v>1029</v>
      </c>
      <c r="H164" s="138" t="s">
        <v>1030</v>
      </c>
      <c r="I164" s="138" t="s">
        <v>1052</v>
      </c>
      <c r="J164" s="138" t="s">
        <v>662</v>
      </c>
      <c r="K164" s="138" t="s">
        <v>1053</v>
      </c>
      <c r="L164" s="138" t="s">
        <v>60</v>
      </c>
      <c r="M164" s="138" t="s">
        <v>1054</v>
      </c>
      <c r="N164" s="138" t="s">
        <v>654</v>
      </c>
      <c r="O164" s="138" t="s">
        <v>655</v>
      </c>
      <c r="R164"/>
      <c r="S164"/>
    </row>
    <row r="165" spans="1:19">
      <c r="A165" t="str">
        <f t="shared" si="21"/>
        <v>10-17</v>
      </c>
      <c r="B165" t="str">
        <f t="shared" si="22"/>
        <v>USD</v>
      </c>
      <c r="C165" s="138" t="s">
        <v>656</v>
      </c>
      <c r="D165" s="138">
        <v>1231017</v>
      </c>
      <c r="E165" s="138" t="s">
        <v>707</v>
      </c>
      <c r="F165" s="138" t="s">
        <v>811</v>
      </c>
      <c r="G165" s="138" t="s">
        <v>812</v>
      </c>
      <c r="H165" s="138" t="s">
        <v>813</v>
      </c>
      <c r="I165" s="138" t="s">
        <v>1055</v>
      </c>
      <c r="J165" s="138" t="s">
        <v>662</v>
      </c>
      <c r="K165" s="138" t="s">
        <v>1056</v>
      </c>
      <c r="L165" s="138" t="s">
        <v>70</v>
      </c>
      <c r="M165" s="138" t="s">
        <v>713</v>
      </c>
      <c r="N165" s="138" t="s">
        <v>654</v>
      </c>
      <c r="O165" s="138" t="s">
        <v>714</v>
      </c>
      <c r="R165"/>
      <c r="S165"/>
    </row>
    <row r="166" spans="1:19">
      <c r="A166" t="str">
        <f t="shared" si="21"/>
        <v>10-17</v>
      </c>
      <c r="B166" t="str">
        <f t="shared" si="22"/>
        <v>USD</v>
      </c>
      <c r="C166" s="138" t="s">
        <v>656</v>
      </c>
      <c r="D166" s="138">
        <v>1231017</v>
      </c>
      <c r="E166" s="138" t="s">
        <v>707</v>
      </c>
      <c r="F166" s="138" t="s">
        <v>811</v>
      </c>
      <c r="G166" s="138" t="s">
        <v>812</v>
      </c>
      <c r="H166" s="138" t="s">
        <v>813</v>
      </c>
      <c r="I166" s="138" t="s">
        <v>1059</v>
      </c>
      <c r="J166" s="138" t="s">
        <v>662</v>
      </c>
      <c r="K166" s="138" t="s">
        <v>1060</v>
      </c>
      <c r="L166" s="138" t="s">
        <v>70</v>
      </c>
      <c r="M166" s="138" t="s">
        <v>713</v>
      </c>
      <c r="N166" s="138" t="s">
        <v>654</v>
      </c>
      <c r="O166" s="138" t="s">
        <v>714</v>
      </c>
      <c r="R166"/>
      <c r="S166"/>
    </row>
    <row r="167" spans="1:19">
      <c r="A167" t="str">
        <f t="shared" si="21"/>
        <v>10-17</v>
      </c>
      <c r="B167" t="str">
        <f t="shared" si="22"/>
        <v>USD</v>
      </c>
      <c r="C167" s="138" t="s">
        <v>656</v>
      </c>
      <c r="D167" s="138">
        <v>1231017</v>
      </c>
      <c r="E167" s="138" t="s">
        <v>707</v>
      </c>
      <c r="F167" s="138" t="s">
        <v>811</v>
      </c>
      <c r="G167" s="138" t="s">
        <v>812</v>
      </c>
      <c r="H167" s="138" t="s">
        <v>813</v>
      </c>
      <c r="I167" s="138" t="s">
        <v>1061</v>
      </c>
      <c r="J167" s="138" t="s">
        <v>662</v>
      </c>
      <c r="K167" s="138" t="s">
        <v>1062</v>
      </c>
      <c r="L167" s="138" t="s">
        <v>70</v>
      </c>
      <c r="M167" s="138" t="s">
        <v>713</v>
      </c>
      <c r="N167" s="138" t="s">
        <v>654</v>
      </c>
      <c r="O167" s="138" t="s">
        <v>714</v>
      </c>
      <c r="R167"/>
      <c r="S167"/>
    </row>
    <row r="168" spans="1:19">
      <c r="A168" t="str">
        <f t="shared" si="21"/>
        <v>10-17</v>
      </c>
      <c r="B168" t="str">
        <f t="shared" si="22"/>
        <v>USD</v>
      </c>
      <c r="C168" s="138" t="s">
        <v>656</v>
      </c>
      <c r="D168" s="138">
        <v>1231017</v>
      </c>
      <c r="E168" s="138" t="s">
        <v>707</v>
      </c>
      <c r="F168" s="138" t="s">
        <v>811</v>
      </c>
      <c r="G168" s="138" t="s">
        <v>812</v>
      </c>
      <c r="H168" s="138" t="s">
        <v>813</v>
      </c>
      <c r="I168" s="138" t="s">
        <v>1063</v>
      </c>
      <c r="J168" s="138" t="s">
        <v>662</v>
      </c>
      <c r="K168" s="138" t="s">
        <v>1064</v>
      </c>
      <c r="L168" s="138" t="s">
        <v>70</v>
      </c>
      <c r="M168" s="138" t="s">
        <v>713</v>
      </c>
      <c r="N168" s="138" t="s">
        <v>654</v>
      </c>
      <c r="O168" s="138" t="s">
        <v>714</v>
      </c>
      <c r="R168"/>
      <c r="S168"/>
    </row>
    <row r="169" spans="1:19">
      <c r="A169" t="str">
        <f t="shared" si="21"/>
        <v>10-17</v>
      </c>
      <c r="B169" t="str">
        <f t="shared" si="22"/>
        <v>USD</v>
      </c>
      <c r="C169" s="138" t="s">
        <v>656</v>
      </c>
      <c r="D169" s="138">
        <v>1231017</v>
      </c>
      <c r="E169" s="138" t="s">
        <v>707</v>
      </c>
      <c r="F169" s="138" t="s">
        <v>811</v>
      </c>
      <c r="G169" s="138" t="s">
        <v>812</v>
      </c>
      <c r="H169" s="138" t="s">
        <v>813</v>
      </c>
      <c r="I169" s="138" t="s">
        <v>1065</v>
      </c>
      <c r="J169" s="138" t="s">
        <v>662</v>
      </c>
      <c r="K169" s="138" t="s">
        <v>1066</v>
      </c>
      <c r="L169" s="138" t="s">
        <v>70</v>
      </c>
      <c r="M169" s="138" t="s">
        <v>713</v>
      </c>
      <c r="N169" s="138" t="s">
        <v>654</v>
      </c>
      <c r="O169" s="138" t="s">
        <v>714</v>
      </c>
      <c r="R169"/>
      <c r="S169"/>
    </row>
    <row r="170" spans="1:19">
      <c r="A170" t="str">
        <f t="shared" si="21"/>
        <v>10-17</v>
      </c>
      <c r="B170" t="str">
        <f t="shared" si="22"/>
        <v>USD</v>
      </c>
      <c r="C170" s="138" t="s">
        <v>656</v>
      </c>
      <c r="D170" s="138">
        <v>1231017</v>
      </c>
      <c r="E170" s="138" t="s">
        <v>707</v>
      </c>
      <c r="F170" s="138" t="s">
        <v>811</v>
      </c>
      <c r="G170" s="138" t="s">
        <v>812</v>
      </c>
      <c r="H170" s="138" t="s">
        <v>813</v>
      </c>
      <c r="I170" s="138" t="s">
        <v>1067</v>
      </c>
      <c r="J170" s="138" t="s">
        <v>662</v>
      </c>
      <c r="K170" s="138" t="s">
        <v>1068</v>
      </c>
      <c r="L170" s="138" t="s">
        <v>70</v>
      </c>
      <c r="M170" s="138" t="s">
        <v>713</v>
      </c>
      <c r="N170" s="138" t="s">
        <v>654</v>
      </c>
      <c r="O170" s="138" t="s">
        <v>714</v>
      </c>
      <c r="R170"/>
      <c r="S170"/>
    </row>
    <row r="171" spans="1:19">
      <c r="A171" t="str">
        <f t="shared" si="21"/>
        <v>10-17</v>
      </c>
      <c r="B171" t="str">
        <f t="shared" si="22"/>
        <v>USD</v>
      </c>
      <c r="C171" s="138" t="s">
        <v>656</v>
      </c>
      <c r="D171" s="138">
        <v>1231017</v>
      </c>
      <c r="E171" s="138" t="s">
        <v>707</v>
      </c>
      <c r="F171" s="138" t="s">
        <v>811</v>
      </c>
      <c r="G171" s="138" t="s">
        <v>812</v>
      </c>
      <c r="H171" s="138" t="s">
        <v>813</v>
      </c>
      <c r="I171" s="138" t="s">
        <v>1069</v>
      </c>
      <c r="J171" s="138" t="s">
        <v>662</v>
      </c>
      <c r="K171" s="138" t="s">
        <v>1070</v>
      </c>
      <c r="L171" s="138" t="s">
        <v>70</v>
      </c>
      <c r="M171" s="138" t="s">
        <v>713</v>
      </c>
      <c r="N171" s="138" t="s">
        <v>654</v>
      </c>
      <c r="O171" s="138" t="s">
        <v>714</v>
      </c>
      <c r="R171"/>
      <c r="S171"/>
    </row>
    <row r="172" spans="1:19">
      <c r="A172" t="str">
        <f t="shared" si="21"/>
        <v>10-17</v>
      </c>
      <c r="B172" t="str">
        <f t="shared" si="22"/>
        <v>USD</v>
      </c>
      <c r="C172" s="138" t="s">
        <v>656</v>
      </c>
      <c r="D172" s="138">
        <v>1231017</v>
      </c>
      <c r="E172" s="138" t="s">
        <v>707</v>
      </c>
      <c r="F172" s="138" t="s">
        <v>811</v>
      </c>
      <c r="G172" s="138" t="s">
        <v>812</v>
      </c>
      <c r="H172" s="138" t="s">
        <v>813</v>
      </c>
      <c r="I172" s="138" t="s">
        <v>1071</v>
      </c>
      <c r="J172" s="138" t="s">
        <v>662</v>
      </c>
      <c r="K172" s="138" t="s">
        <v>1072</v>
      </c>
      <c r="L172" s="138" t="s">
        <v>70</v>
      </c>
      <c r="M172" s="138" t="s">
        <v>713</v>
      </c>
      <c r="N172" s="138" t="s">
        <v>654</v>
      </c>
      <c r="O172" s="138" t="s">
        <v>714</v>
      </c>
      <c r="R172"/>
      <c r="S172"/>
    </row>
    <row r="173" spans="1:19">
      <c r="A173" t="str">
        <f t="shared" si="21"/>
        <v>10-17</v>
      </c>
      <c r="B173" t="str">
        <f t="shared" si="22"/>
        <v>USD</v>
      </c>
      <c r="C173" s="138" t="s">
        <v>656</v>
      </c>
      <c r="D173" s="138">
        <v>1231017</v>
      </c>
      <c r="E173" s="138" t="s">
        <v>707</v>
      </c>
      <c r="F173" s="138" t="s">
        <v>811</v>
      </c>
      <c r="G173" s="138" t="s">
        <v>812</v>
      </c>
      <c r="H173" s="138" t="s">
        <v>813</v>
      </c>
      <c r="I173" s="138" t="s">
        <v>1073</v>
      </c>
      <c r="J173" s="138" t="s">
        <v>662</v>
      </c>
      <c r="K173" s="138" t="s">
        <v>1074</v>
      </c>
      <c r="L173" s="138" t="s">
        <v>70</v>
      </c>
      <c r="M173" s="138" t="s">
        <v>713</v>
      </c>
      <c r="N173" s="138" t="s">
        <v>654</v>
      </c>
      <c r="O173" s="138" t="s">
        <v>714</v>
      </c>
      <c r="R173"/>
      <c r="S173"/>
    </row>
    <row r="174" spans="1:19">
      <c r="A174" t="str">
        <f t="shared" si="21"/>
        <v>10-17</v>
      </c>
      <c r="B174" t="str">
        <f t="shared" si="22"/>
        <v>USD</v>
      </c>
      <c r="C174" s="138" t="s">
        <v>656</v>
      </c>
      <c r="D174" s="138">
        <v>1231017</v>
      </c>
      <c r="E174" s="138" t="s">
        <v>707</v>
      </c>
      <c r="F174" s="138" t="s">
        <v>811</v>
      </c>
      <c r="G174" s="138" t="s">
        <v>812</v>
      </c>
      <c r="H174" s="138" t="s">
        <v>813</v>
      </c>
      <c r="I174" s="138" t="s">
        <v>1057</v>
      </c>
      <c r="J174" s="138" t="s">
        <v>662</v>
      </c>
      <c r="K174" s="138" t="s">
        <v>1058</v>
      </c>
      <c r="L174" s="138" t="s">
        <v>70</v>
      </c>
      <c r="M174" s="138" t="s">
        <v>713</v>
      </c>
      <c r="N174" s="138" t="s">
        <v>654</v>
      </c>
      <c r="O174" s="138" t="s">
        <v>714</v>
      </c>
      <c r="R174"/>
      <c r="S174"/>
    </row>
    <row r="175" spans="1:19">
      <c r="A175" t="str">
        <f t="shared" si="21"/>
        <v>10-18</v>
      </c>
      <c r="B175" t="str">
        <f t="shared" si="22"/>
        <v>USD</v>
      </c>
      <c r="C175" s="141" t="s">
        <v>656</v>
      </c>
      <c r="D175" s="141">
        <v>1231018</v>
      </c>
      <c r="E175" s="141" t="s">
        <v>707</v>
      </c>
      <c r="F175" s="141" t="s">
        <v>811</v>
      </c>
      <c r="G175" s="141" t="s">
        <v>812</v>
      </c>
      <c r="H175" s="141" t="s">
        <v>813</v>
      </c>
      <c r="I175" s="141" t="s">
        <v>1108</v>
      </c>
      <c r="J175" s="141" t="s">
        <v>662</v>
      </c>
      <c r="K175" s="141" t="s">
        <v>1109</v>
      </c>
      <c r="L175" s="141" t="s">
        <v>232</v>
      </c>
      <c r="M175" s="141" t="s">
        <v>1110</v>
      </c>
      <c r="N175" s="141" t="s">
        <v>654</v>
      </c>
      <c r="O175" s="141" t="s">
        <v>714</v>
      </c>
      <c r="R175"/>
      <c r="S175"/>
    </row>
    <row r="176" spans="1:19">
      <c r="A176" t="str">
        <f t="shared" si="21"/>
        <v>10-18</v>
      </c>
      <c r="B176" t="str">
        <f t="shared" si="22"/>
        <v>USD</v>
      </c>
      <c r="C176" s="138" t="s">
        <v>656</v>
      </c>
      <c r="D176" s="138">
        <v>1231018</v>
      </c>
      <c r="E176" s="138" t="s">
        <v>707</v>
      </c>
      <c r="F176" s="138" t="s">
        <v>811</v>
      </c>
      <c r="G176" s="138" t="s">
        <v>812</v>
      </c>
      <c r="H176" s="138" t="s">
        <v>813</v>
      </c>
      <c r="I176" s="138" t="s">
        <v>1111</v>
      </c>
      <c r="J176" s="138" t="s">
        <v>662</v>
      </c>
      <c r="K176" s="138" t="s">
        <v>1112</v>
      </c>
      <c r="L176" s="138" t="s">
        <v>69</v>
      </c>
      <c r="M176" s="138" t="s">
        <v>1042</v>
      </c>
      <c r="N176" s="138" t="s">
        <v>654</v>
      </c>
      <c r="O176" s="138" t="s">
        <v>714</v>
      </c>
      <c r="R176"/>
      <c r="S176"/>
    </row>
    <row r="177" spans="1:28">
      <c r="A177" t="str">
        <f t="shared" si="21"/>
        <v>10-19</v>
      </c>
      <c r="B177" t="str">
        <f t="shared" si="22"/>
        <v>USD</v>
      </c>
      <c r="C177" s="141" t="s">
        <v>656</v>
      </c>
      <c r="D177" s="141">
        <v>1231019</v>
      </c>
      <c r="E177" s="141" t="s">
        <v>657</v>
      </c>
      <c r="F177" s="141" t="s">
        <v>1121</v>
      </c>
      <c r="G177" s="141" t="s">
        <v>1122</v>
      </c>
      <c r="H177" s="141" t="s">
        <v>894</v>
      </c>
      <c r="I177" s="141" t="s">
        <v>1123</v>
      </c>
      <c r="J177" s="141" t="s">
        <v>662</v>
      </c>
      <c r="K177" s="141" t="s">
        <v>1124</v>
      </c>
      <c r="L177" s="141" t="s">
        <v>164</v>
      </c>
      <c r="M177" s="141" t="s">
        <v>1125</v>
      </c>
      <c r="N177" s="141" t="s">
        <v>654</v>
      </c>
      <c r="O177" s="141" t="s">
        <v>714</v>
      </c>
      <c r="R177"/>
      <c r="S177"/>
      <c r="T177" s="141"/>
      <c r="U177" s="141"/>
      <c r="V177" s="141"/>
      <c r="W177" s="141"/>
      <c r="X177" s="141"/>
      <c r="Y177" s="141"/>
      <c r="Z177" s="141"/>
      <c r="AA177" s="141" t="s">
        <v>654</v>
      </c>
      <c r="AB177" s="141" t="s">
        <v>655</v>
      </c>
    </row>
    <row r="178" spans="1:28">
      <c r="A178" t="str">
        <f t="shared" si="21"/>
        <v>10-19</v>
      </c>
      <c r="B178" t="str">
        <f t="shared" si="22"/>
        <v>USD</v>
      </c>
      <c r="C178" s="141" t="s">
        <v>656</v>
      </c>
      <c r="D178" s="141">
        <v>1231019</v>
      </c>
      <c r="E178" s="141" t="s">
        <v>657</v>
      </c>
      <c r="F178" s="141" t="s">
        <v>1121</v>
      </c>
      <c r="G178" s="141" t="s">
        <v>1122</v>
      </c>
      <c r="H178" s="141" t="s">
        <v>894</v>
      </c>
      <c r="I178" s="141" t="s">
        <v>1126</v>
      </c>
      <c r="J178" s="141" t="s">
        <v>662</v>
      </c>
      <c r="K178" s="141" t="s">
        <v>1127</v>
      </c>
      <c r="L178" s="141" t="s">
        <v>105</v>
      </c>
      <c r="M178" s="141" t="s">
        <v>1128</v>
      </c>
      <c r="N178" s="141" t="s">
        <v>654</v>
      </c>
      <c r="O178" s="141" t="s">
        <v>714</v>
      </c>
      <c r="R178" s="141"/>
      <c r="S178"/>
      <c r="T178" s="141"/>
      <c r="U178" s="141"/>
      <c r="V178" s="141"/>
      <c r="W178" s="141"/>
      <c r="X178" s="141"/>
      <c r="Y178" s="141"/>
      <c r="Z178" s="141"/>
      <c r="AA178" s="141" t="s">
        <v>654</v>
      </c>
      <c r="AB178" s="141" t="s">
        <v>655</v>
      </c>
    </row>
    <row r="179" spans="1:28">
      <c r="A179" t="str">
        <f t="shared" si="21"/>
        <v>10-19</v>
      </c>
      <c r="B179" t="str">
        <f t="shared" si="22"/>
        <v>USD</v>
      </c>
      <c r="C179" s="141" t="s">
        <v>656</v>
      </c>
      <c r="D179" s="141">
        <v>1231019</v>
      </c>
      <c r="E179" s="141" t="s">
        <v>657</v>
      </c>
      <c r="F179" s="141" t="s">
        <v>1121</v>
      </c>
      <c r="G179" s="141" t="s">
        <v>1122</v>
      </c>
      <c r="H179" s="141" t="s">
        <v>894</v>
      </c>
      <c r="I179" s="141" t="s">
        <v>1129</v>
      </c>
      <c r="J179" s="141" t="s">
        <v>662</v>
      </c>
      <c r="K179" s="141" t="s">
        <v>1130</v>
      </c>
      <c r="L179" s="141" t="s">
        <v>105</v>
      </c>
      <c r="M179" s="141" t="s">
        <v>1128</v>
      </c>
      <c r="N179" s="141" t="s">
        <v>654</v>
      </c>
      <c r="O179" s="141" t="s">
        <v>714</v>
      </c>
      <c r="R179" s="141"/>
      <c r="S179"/>
    </row>
    <row r="180" spans="1:28">
      <c r="A180" t="str">
        <f t="shared" si="21"/>
        <v>10-19</v>
      </c>
      <c r="B180" t="str">
        <f t="shared" si="22"/>
        <v>USD</v>
      </c>
      <c r="C180" s="141" t="s">
        <v>656</v>
      </c>
      <c r="D180" s="141">
        <v>1231019</v>
      </c>
      <c r="E180" s="141" t="s">
        <v>657</v>
      </c>
      <c r="F180" s="141" t="s">
        <v>988</v>
      </c>
      <c r="G180" s="141" t="s">
        <v>989</v>
      </c>
      <c r="H180" s="141" t="s">
        <v>990</v>
      </c>
      <c r="I180" s="141" t="s">
        <v>1150</v>
      </c>
      <c r="J180" s="141" t="s">
        <v>662</v>
      </c>
      <c r="K180" s="141" t="s">
        <v>1151</v>
      </c>
      <c r="L180" s="141" t="s">
        <v>165</v>
      </c>
      <c r="M180" s="141" t="s">
        <v>1152</v>
      </c>
      <c r="N180" s="141" t="s">
        <v>654</v>
      </c>
      <c r="O180" s="141" t="s">
        <v>799</v>
      </c>
      <c r="R180"/>
      <c r="S180"/>
    </row>
    <row r="181" spans="1:28">
      <c r="A181" t="str">
        <f t="shared" si="21"/>
        <v>10-19</v>
      </c>
      <c r="B181" t="str">
        <f t="shared" si="22"/>
        <v>USD</v>
      </c>
      <c r="C181" s="138" t="s">
        <v>656</v>
      </c>
      <c r="D181" s="138">
        <v>1231019</v>
      </c>
      <c r="E181" s="138" t="s">
        <v>657</v>
      </c>
      <c r="F181" s="138" t="s">
        <v>988</v>
      </c>
      <c r="G181" s="138" t="s">
        <v>989</v>
      </c>
      <c r="H181" s="138" t="s">
        <v>990</v>
      </c>
      <c r="I181" s="138" t="s">
        <v>1153</v>
      </c>
      <c r="J181" s="138" t="s">
        <v>662</v>
      </c>
      <c r="K181" s="138" t="s">
        <v>1154</v>
      </c>
      <c r="L181" s="138" t="s">
        <v>105</v>
      </c>
      <c r="M181" s="138" t="s">
        <v>1128</v>
      </c>
      <c r="N181" s="138" t="s">
        <v>654</v>
      </c>
      <c r="O181" s="138" t="s">
        <v>714</v>
      </c>
      <c r="R181"/>
      <c r="S181"/>
    </row>
    <row r="182" spans="1:28">
      <c r="A182" t="str">
        <f t="shared" si="21"/>
        <v>10-19</v>
      </c>
      <c r="B182" t="str">
        <f t="shared" si="22"/>
        <v>USD</v>
      </c>
      <c r="C182" s="138" t="s">
        <v>656</v>
      </c>
      <c r="D182" s="138">
        <v>1231019</v>
      </c>
      <c r="E182" s="138" t="s">
        <v>657</v>
      </c>
      <c r="F182" s="138" t="s">
        <v>988</v>
      </c>
      <c r="G182" s="138" t="s">
        <v>989</v>
      </c>
      <c r="H182" s="138" t="s">
        <v>990</v>
      </c>
      <c r="I182" s="138" t="s">
        <v>1155</v>
      </c>
      <c r="J182" s="138" t="s">
        <v>662</v>
      </c>
      <c r="K182" s="138" t="s">
        <v>1156</v>
      </c>
      <c r="L182" s="138" t="s">
        <v>105</v>
      </c>
      <c r="M182" s="138" t="s">
        <v>1128</v>
      </c>
      <c r="N182" s="138" t="s">
        <v>654</v>
      </c>
      <c r="O182" s="138" t="s">
        <v>714</v>
      </c>
      <c r="R182"/>
      <c r="S182"/>
    </row>
    <row r="183" spans="1:28">
      <c r="A183" t="str">
        <f t="shared" si="21"/>
        <v>10-19</v>
      </c>
      <c r="B183" t="str">
        <f t="shared" si="22"/>
        <v>USD</v>
      </c>
      <c r="C183" s="138" t="s">
        <v>656</v>
      </c>
      <c r="D183" s="138">
        <v>1231019</v>
      </c>
      <c r="E183" s="138" t="s">
        <v>657</v>
      </c>
      <c r="F183" s="138" t="s">
        <v>988</v>
      </c>
      <c r="G183" s="138" t="s">
        <v>989</v>
      </c>
      <c r="H183" s="138" t="s">
        <v>990</v>
      </c>
      <c r="I183" s="138" t="s">
        <v>1157</v>
      </c>
      <c r="J183" s="138" t="s">
        <v>662</v>
      </c>
      <c r="K183" s="138" t="s">
        <v>1158</v>
      </c>
      <c r="L183" s="138" t="s">
        <v>105</v>
      </c>
      <c r="M183" s="138" t="s">
        <v>1128</v>
      </c>
      <c r="N183" s="138" t="s">
        <v>654</v>
      </c>
      <c r="O183" s="138" t="s">
        <v>714</v>
      </c>
      <c r="R183"/>
      <c r="S183"/>
    </row>
    <row r="184" spans="1:28">
      <c r="A184" t="str">
        <f t="shared" si="21"/>
        <v>10-19</v>
      </c>
      <c r="B184" t="str">
        <f t="shared" si="22"/>
        <v>USD</v>
      </c>
      <c r="C184" s="138" t="s">
        <v>656</v>
      </c>
      <c r="D184" s="138">
        <v>1231019</v>
      </c>
      <c r="E184" s="138" t="s">
        <v>657</v>
      </c>
      <c r="F184" s="138" t="s">
        <v>988</v>
      </c>
      <c r="G184" s="138" t="s">
        <v>989</v>
      </c>
      <c r="H184" s="138" t="s">
        <v>990</v>
      </c>
      <c r="I184" s="138" t="s">
        <v>1159</v>
      </c>
      <c r="J184" s="138" t="s">
        <v>662</v>
      </c>
      <c r="K184" s="138" t="s">
        <v>1160</v>
      </c>
      <c r="L184" s="138" t="s">
        <v>105</v>
      </c>
      <c r="M184" s="138" t="s">
        <v>1128</v>
      </c>
      <c r="N184" s="138" t="s">
        <v>654</v>
      </c>
      <c r="O184" s="138" t="s">
        <v>714</v>
      </c>
      <c r="R184"/>
      <c r="S184"/>
    </row>
    <row r="185" spans="1:28">
      <c r="A185" t="str">
        <f t="shared" si="21"/>
        <v>10-19</v>
      </c>
      <c r="B185" t="str">
        <f t="shared" si="22"/>
        <v>USD</v>
      </c>
      <c r="C185" s="138" t="s">
        <v>656</v>
      </c>
      <c r="D185" s="138">
        <v>1231019</v>
      </c>
      <c r="E185" s="138" t="s">
        <v>707</v>
      </c>
      <c r="F185" s="138" t="s">
        <v>800</v>
      </c>
      <c r="G185" s="138" t="s">
        <v>801</v>
      </c>
      <c r="H185" s="138" t="s">
        <v>660</v>
      </c>
      <c r="I185" s="138" t="s">
        <v>1270</v>
      </c>
      <c r="J185" s="138" t="s">
        <v>662</v>
      </c>
      <c r="K185" s="138" t="s">
        <v>1333</v>
      </c>
      <c r="L185" s="138" t="s">
        <v>58</v>
      </c>
      <c r="M185" s="138" t="s">
        <v>1334</v>
      </c>
      <c r="N185" s="138" t="s">
        <v>654</v>
      </c>
      <c r="O185" s="138" t="s">
        <v>665</v>
      </c>
      <c r="P185"/>
      <c r="Q185"/>
      <c r="R185"/>
      <c r="S185"/>
    </row>
    <row r="186" spans="1:28">
      <c r="A186" t="str">
        <f t="shared" si="21"/>
        <v>10-21</v>
      </c>
      <c r="B186" t="str">
        <f t="shared" si="22"/>
        <v>USD</v>
      </c>
      <c r="C186" s="141" t="s">
        <v>656</v>
      </c>
      <c r="D186" s="141">
        <v>1231021</v>
      </c>
      <c r="E186" s="141" t="s">
        <v>657</v>
      </c>
      <c r="F186" s="141" t="s">
        <v>658</v>
      </c>
      <c r="G186" s="141" t="s">
        <v>659</v>
      </c>
      <c r="H186" s="141" t="s">
        <v>660</v>
      </c>
      <c r="I186" s="141" t="s">
        <v>1202</v>
      </c>
      <c r="J186" s="141" t="s">
        <v>662</v>
      </c>
      <c r="K186" s="141" t="s">
        <v>1203</v>
      </c>
      <c r="L186" s="141" t="s">
        <v>95</v>
      </c>
      <c r="M186" s="141" t="s">
        <v>664</v>
      </c>
      <c r="N186" s="141" t="s">
        <v>654</v>
      </c>
      <c r="O186" s="141" t="s">
        <v>665</v>
      </c>
      <c r="R186"/>
      <c r="S186"/>
    </row>
    <row r="187" spans="1:28">
      <c r="A187" t="str">
        <f t="shared" si="21"/>
        <v>10-21</v>
      </c>
      <c r="B187" t="str">
        <f t="shared" si="22"/>
        <v>USD</v>
      </c>
      <c r="C187" s="138" t="s">
        <v>656</v>
      </c>
      <c r="D187" s="138">
        <v>1231021</v>
      </c>
      <c r="E187" s="138" t="s">
        <v>657</v>
      </c>
      <c r="F187" s="138" t="s">
        <v>658</v>
      </c>
      <c r="G187" s="138" t="s">
        <v>659</v>
      </c>
      <c r="H187" s="138" t="s">
        <v>660</v>
      </c>
      <c r="I187" s="138" t="s">
        <v>1204</v>
      </c>
      <c r="J187" s="138" t="s">
        <v>662</v>
      </c>
      <c r="K187" s="138" t="s">
        <v>1205</v>
      </c>
      <c r="L187" s="138" t="s">
        <v>95</v>
      </c>
      <c r="M187" s="138" t="s">
        <v>664</v>
      </c>
      <c r="N187" s="138" t="s">
        <v>654</v>
      </c>
      <c r="O187" s="138" t="s">
        <v>665</v>
      </c>
      <c r="R187"/>
      <c r="S187"/>
    </row>
    <row r="188" spans="1:28">
      <c r="A188" t="str">
        <f t="shared" si="21"/>
        <v>10-21</v>
      </c>
      <c r="B188" t="str">
        <f t="shared" si="22"/>
        <v>USD</v>
      </c>
      <c r="C188" s="138" t="s">
        <v>656</v>
      </c>
      <c r="D188" s="138">
        <v>1231021</v>
      </c>
      <c r="E188" s="138" t="s">
        <v>657</v>
      </c>
      <c r="F188" s="138" t="s">
        <v>658</v>
      </c>
      <c r="G188" s="138" t="s">
        <v>659</v>
      </c>
      <c r="H188" s="138" t="s">
        <v>660</v>
      </c>
      <c r="I188" s="138" t="s">
        <v>1206</v>
      </c>
      <c r="J188" s="138" t="s">
        <v>662</v>
      </c>
      <c r="K188" s="138" t="s">
        <v>1207</v>
      </c>
      <c r="L188" s="138" t="s">
        <v>95</v>
      </c>
      <c r="M188" s="138" t="s">
        <v>664</v>
      </c>
      <c r="N188" s="138" t="s">
        <v>654</v>
      </c>
      <c r="O188" s="138" t="s">
        <v>665</v>
      </c>
      <c r="R188"/>
      <c r="S188"/>
    </row>
    <row r="189" spans="1:28">
      <c r="A189" t="str">
        <f t="shared" si="21"/>
        <v>10-21</v>
      </c>
      <c r="B189" t="str">
        <f t="shared" si="22"/>
        <v>USD</v>
      </c>
      <c r="C189" s="138" t="s">
        <v>656</v>
      </c>
      <c r="D189" s="138">
        <v>1231021</v>
      </c>
      <c r="E189" s="138" t="s">
        <v>657</v>
      </c>
      <c r="F189" s="138" t="s">
        <v>658</v>
      </c>
      <c r="G189" s="138" t="s">
        <v>659</v>
      </c>
      <c r="H189" s="138" t="s">
        <v>660</v>
      </c>
      <c r="I189" s="138" t="s">
        <v>1208</v>
      </c>
      <c r="J189" s="138" t="s">
        <v>662</v>
      </c>
      <c r="K189" s="138" t="s">
        <v>1209</v>
      </c>
      <c r="L189" s="138" t="s">
        <v>95</v>
      </c>
      <c r="M189" s="138" t="s">
        <v>664</v>
      </c>
      <c r="N189" s="138" t="s">
        <v>654</v>
      </c>
      <c r="O189" s="138" t="s">
        <v>665</v>
      </c>
      <c r="R189"/>
      <c r="S189"/>
    </row>
    <row r="190" spans="1:28">
      <c r="A190" t="str">
        <f t="shared" si="21"/>
        <v>10-22</v>
      </c>
      <c r="B190" t="str">
        <f t="shared" si="22"/>
        <v>USD</v>
      </c>
      <c r="C190" s="141" t="s">
        <v>656</v>
      </c>
      <c r="D190" s="141">
        <v>1231022</v>
      </c>
      <c r="E190" s="141" t="s">
        <v>657</v>
      </c>
      <c r="F190" s="141" t="s">
        <v>1121</v>
      </c>
      <c r="G190" s="141" t="s">
        <v>1122</v>
      </c>
      <c r="H190" s="141" t="s">
        <v>894</v>
      </c>
      <c r="I190" s="141" t="s">
        <v>1210</v>
      </c>
      <c r="J190" s="141" t="s">
        <v>662</v>
      </c>
      <c r="K190" s="141" t="s">
        <v>1211</v>
      </c>
      <c r="L190" s="141" t="s">
        <v>68</v>
      </c>
      <c r="M190" s="141" t="s">
        <v>956</v>
      </c>
      <c r="N190" s="141" t="s">
        <v>654</v>
      </c>
      <c r="O190" s="141" t="s">
        <v>665</v>
      </c>
      <c r="R190"/>
      <c r="S190"/>
    </row>
    <row r="191" spans="1:28">
      <c r="A191" t="str">
        <f t="shared" si="21"/>
        <v>10-22</v>
      </c>
      <c r="B191" t="str">
        <f t="shared" si="22"/>
        <v>USD</v>
      </c>
      <c r="C191" s="138" t="s">
        <v>656</v>
      </c>
      <c r="D191" s="138">
        <v>1231022</v>
      </c>
      <c r="E191" s="138" t="s">
        <v>657</v>
      </c>
      <c r="F191" s="138" t="s">
        <v>1121</v>
      </c>
      <c r="G191" s="138" t="s">
        <v>1122</v>
      </c>
      <c r="H191" s="138" t="s">
        <v>894</v>
      </c>
      <c r="I191" s="138" t="s">
        <v>1212</v>
      </c>
      <c r="J191" s="138" t="s">
        <v>662</v>
      </c>
      <c r="K191" s="138" t="s">
        <v>1213</v>
      </c>
      <c r="L191" s="138" t="s">
        <v>68</v>
      </c>
      <c r="M191" s="138" t="s">
        <v>956</v>
      </c>
      <c r="N191" s="138" t="s">
        <v>654</v>
      </c>
      <c r="O191" s="138" t="s">
        <v>665</v>
      </c>
      <c r="R191"/>
      <c r="S191"/>
    </row>
    <row r="192" spans="1:28">
      <c r="A192" t="str">
        <f t="shared" si="21"/>
        <v>10-22</v>
      </c>
      <c r="B192" t="str">
        <f t="shared" si="22"/>
        <v>USD</v>
      </c>
      <c r="C192" s="138" t="s">
        <v>656</v>
      </c>
      <c r="D192" s="138">
        <v>1231022</v>
      </c>
      <c r="E192" s="138" t="s">
        <v>657</v>
      </c>
      <c r="F192" s="138" t="s">
        <v>1121</v>
      </c>
      <c r="G192" s="138" t="s">
        <v>1122</v>
      </c>
      <c r="H192" s="138" t="s">
        <v>894</v>
      </c>
      <c r="I192" s="138" t="s">
        <v>1214</v>
      </c>
      <c r="J192" s="138" t="s">
        <v>662</v>
      </c>
      <c r="K192" s="138" t="s">
        <v>1215</v>
      </c>
      <c r="L192" s="138" t="s">
        <v>122</v>
      </c>
      <c r="M192" s="138" t="s">
        <v>1216</v>
      </c>
      <c r="N192" s="138" t="s">
        <v>654</v>
      </c>
      <c r="O192" s="138" t="s">
        <v>655</v>
      </c>
      <c r="R192"/>
      <c r="S192"/>
    </row>
    <row r="193" spans="1:19">
      <c r="A193" t="str">
        <f t="shared" si="21"/>
        <v>10-23</v>
      </c>
      <c r="B193" t="str">
        <f t="shared" si="22"/>
        <v>USD</v>
      </c>
      <c r="C193" s="141" t="s">
        <v>656</v>
      </c>
      <c r="D193" s="141">
        <v>1231023</v>
      </c>
      <c r="E193" s="141" t="s">
        <v>657</v>
      </c>
      <c r="F193" s="141" t="s">
        <v>988</v>
      </c>
      <c r="G193" s="141" t="s">
        <v>989</v>
      </c>
      <c r="H193" s="141" t="s">
        <v>990</v>
      </c>
      <c r="I193" s="141" t="s">
        <v>1225</v>
      </c>
      <c r="J193" s="141" t="s">
        <v>662</v>
      </c>
      <c r="K193" s="141" t="s">
        <v>1226</v>
      </c>
      <c r="L193" s="141" t="s">
        <v>51</v>
      </c>
      <c r="M193" s="141" t="s">
        <v>967</v>
      </c>
      <c r="N193" s="141" t="s">
        <v>654</v>
      </c>
      <c r="O193" s="141" t="s">
        <v>799</v>
      </c>
      <c r="R193"/>
      <c r="S193"/>
    </row>
    <row r="194" spans="1:19">
      <c r="A194" t="str">
        <f t="shared" si="21"/>
        <v>10-23</v>
      </c>
      <c r="B194" t="str">
        <f t="shared" si="22"/>
        <v>USD</v>
      </c>
      <c r="C194" s="141" t="s">
        <v>656</v>
      </c>
      <c r="D194" s="141">
        <v>1231023</v>
      </c>
      <c r="E194" s="141" t="s">
        <v>707</v>
      </c>
      <c r="F194" s="141" t="s">
        <v>1217</v>
      </c>
      <c r="G194" s="141" t="s">
        <v>1218</v>
      </c>
      <c r="H194" s="141" t="s">
        <v>779</v>
      </c>
      <c r="I194" s="141" t="s">
        <v>1219</v>
      </c>
      <c r="J194" s="141" t="s">
        <v>662</v>
      </c>
      <c r="K194" s="141" t="s">
        <v>1391</v>
      </c>
      <c r="L194" s="141" t="s">
        <v>61</v>
      </c>
      <c r="M194" s="141" t="s">
        <v>1220</v>
      </c>
      <c r="N194" s="141" t="s">
        <v>654</v>
      </c>
      <c r="O194" s="141" t="s">
        <v>799</v>
      </c>
      <c r="R194"/>
      <c r="S194"/>
    </row>
    <row r="195" spans="1:19">
      <c r="A195" t="str">
        <f t="shared" si="21"/>
        <v>10-23</v>
      </c>
      <c r="B195" t="str">
        <f t="shared" si="22"/>
        <v>USD</v>
      </c>
      <c r="C195" s="141" t="s">
        <v>656</v>
      </c>
      <c r="D195" s="141">
        <v>1231023</v>
      </c>
      <c r="E195" s="141" t="s">
        <v>707</v>
      </c>
      <c r="F195" s="141" t="s">
        <v>1217</v>
      </c>
      <c r="G195" s="141" t="s">
        <v>1218</v>
      </c>
      <c r="H195" s="141" t="s">
        <v>779</v>
      </c>
      <c r="I195" s="141" t="s">
        <v>1221</v>
      </c>
      <c r="J195" s="141" t="s">
        <v>662</v>
      </c>
      <c r="K195" s="141" t="s">
        <v>1392</v>
      </c>
      <c r="L195" s="141" t="s">
        <v>61</v>
      </c>
      <c r="M195" s="141" t="s">
        <v>1220</v>
      </c>
      <c r="N195" s="141" t="s">
        <v>654</v>
      </c>
      <c r="O195" s="141" t="s">
        <v>799</v>
      </c>
      <c r="R195"/>
      <c r="S195"/>
    </row>
    <row r="196" spans="1:19">
      <c r="A196" t="str">
        <f t="shared" si="21"/>
        <v>10-23</v>
      </c>
      <c r="B196" t="str">
        <f t="shared" si="22"/>
        <v>USD</v>
      </c>
      <c r="C196" s="141" t="s">
        <v>656</v>
      </c>
      <c r="D196" s="141">
        <v>1231023</v>
      </c>
      <c r="E196" s="141" t="s">
        <v>707</v>
      </c>
      <c r="F196" s="141" t="s">
        <v>1217</v>
      </c>
      <c r="G196" s="141" t="s">
        <v>1218</v>
      </c>
      <c r="H196" s="141" t="s">
        <v>779</v>
      </c>
      <c r="I196" s="141" t="s">
        <v>1222</v>
      </c>
      <c r="J196" s="141" t="s">
        <v>662</v>
      </c>
      <c r="K196" s="141" t="s">
        <v>1393</v>
      </c>
      <c r="L196" s="141" t="s">
        <v>61</v>
      </c>
      <c r="M196" s="141" t="s">
        <v>1220</v>
      </c>
      <c r="N196" s="141" t="s">
        <v>654</v>
      </c>
      <c r="O196" s="141" t="s">
        <v>799</v>
      </c>
      <c r="R196"/>
      <c r="S196"/>
    </row>
    <row r="197" spans="1:19">
      <c r="A197" t="str">
        <f t="shared" si="21"/>
        <v>10-23</v>
      </c>
      <c r="B197" t="str">
        <f t="shared" si="22"/>
        <v>USD</v>
      </c>
      <c r="C197" s="141" t="s">
        <v>656</v>
      </c>
      <c r="D197" s="141">
        <v>1231023</v>
      </c>
      <c r="E197" s="141" t="s">
        <v>707</v>
      </c>
      <c r="F197" s="141" t="s">
        <v>1217</v>
      </c>
      <c r="G197" s="141" t="s">
        <v>1218</v>
      </c>
      <c r="H197" s="141" t="s">
        <v>779</v>
      </c>
      <c r="I197" s="141" t="s">
        <v>1223</v>
      </c>
      <c r="J197" s="141" t="s">
        <v>662</v>
      </c>
      <c r="K197" s="141" t="s">
        <v>1394</v>
      </c>
      <c r="L197" s="141" t="s">
        <v>61</v>
      </c>
      <c r="M197" s="141" t="s">
        <v>1220</v>
      </c>
      <c r="N197" s="141" t="s">
        <v>654</v>
      </c>
      <c r="O197" s="141" t="s">
        <v>799</v>
      </c>
      <c r="R197"/>
      <c r="S197"/>
    </row>
    <row r="198" spans="1:19">
      <c r="A198" t="str">
        <f t="shared" si="21"/>
        <v>10-24</v>
      </c>
      <c r="B198" t="str">
        <f t="shared" si="22"/>
        <v>USD</v>
      </c>
      <c r="C198" s="138" t="s">
        <v>656</v>
      </c>
      <c r="D198" s="138">
        <v>1231024</v>
      </c>
      <c r="E198" s="138" t="s">
        <v>657</v>
      </c>
      <c r="F198" s="138" t="s">
        <v>658</v>
      </c>
      <c r="G198" s="138" t="s">
        <v>659</v>
      </c>
      <c r="H198" s="138" t="s">
        <v>660</v>
      </c>
      <c r="I198" s="138" t="s">
        <v>1227</v>
      </c>
      <c r="J198" s="138" t="s">
        <v>662</v>
      </c>
      <c r="K198" s="138" t="s">
        <v>1228</v>
      </c>
      <c r="L198" s="138" t="s">
        <v>499</v>
      </c>
      <c r="M198" s="138" t="s">
        <v>1229</v>
      </c>
      <c r="N198" s="138" t="s">
        <v>654</v>
      </c>
      <c r="O198" s="138" t="s">
        <v>655</v>
      </c>
      <c r="P198"/>
      <c r="Q198"/>
    </row>
    <row r="199" spans="1:19">
      <c r="A199" t="str">
        <f t="shared" si="21"/>
        <v>10-24</v>
      </c>
      <c r="B199" t="str">
        <f t="shared" si="22"/>
        <v>USD</v>
      </c>
      <c r="C199" s="138" t="s">
        <v>656</v>
      </c>
      <c r="D199" s="138">
        <v>1231024</v>
      </c>
      <c r="E199" s="138" t="s">
        <v>657</v>
      </c>
      <c r="F199" s="138" t="s">
        <v>658</v>
      </c>
      <c r="G199" s="138" t="s">
        <v>659</v>
      </c>
      <c r="H199" s="138" t="s">
        <v>660</v>
      </c>
      <c r="I199" s="138" t="s">
        <v>1230</v>
      </c>
      <c r="J199" s="138" t="s">
        <v>662</v>
      </c>
      <c r="K199" s="138" t="s">
        <v>1231</v>
      </c>
      <c r="L199" s="138" t="s">
        <v>499</v>
      </c>
      <c r="M199" s="138" t="s">
        <v>1229</v>
      </c>
      <c r="N199" s="138" t="s">
        <v>654</v>
      </c>
      <c r="O199" s="138" t="s">
        <v>655</v>
      </c>
      <c r="P199"/>
      <c r="Q199"/>
    </row>
    <row r="200" spans="1:19">
      <c r="A200" t="str">
        <f t="shared" si="21"/>
        <v>10-24</v>
      </c>
      <c r="B200" t="str">
        <f t="shared" si="22"/>
        <v>USD</v>
      </c>
      <c r="C200" s="138" t="s">
        <v>656</v>
      </c>
      <c r="D200" s="138">
        <v>1231024</v>
      </c>
      <c r="E200" s="138" t="s">
        <v>657</v>
      </c>
      <c r="F200" s="138" t="s">
        <v>658</v>
      </c>
      <c r="G200" s="138" t="s">
        <v>659</v>
      </c>
      <c r="H200" s="138" t="s">
        <v>660</v>
      </c>
      <c r="I200" s="138" t="s">
        <v>1232</v>
      </c>
      <c r="J200" s="138" t="s">
        <v>662</v>
      </c>
      <c r="K200" s="138" t="s">
        <v>1233</v>
      </c>
      <c r="L200" s="138" t="s">
        <v>499</v>
      </c>
      <c r="M200" s="138" t="s">
        <v>1229</v>
      </c>
      <c r="N200" s="138" t="s">
        <v>654</v>
      </c>
      <c r="O200" s="138" t="s">
        <v>655</v>
      </c>
      <c r="P200"/>
      <c r="Q200"/>
    </row>
    <row r="201" spans="1:19">
      <c r="A201" t="str">
        <f t="shared" si="21"/>
        <v>10-24</v>
      </c>
      <c r="B201" t="str">
        <f t="shared" si="22"/>
        <v>USD</v>
      </c>
      <c r="C201" s="138" t="s">
        <v>656</v>
      </c>
      <c r="D201" s="138">
        <v>1231024</v>
      </c>
      <c r="E201" s="138" t="s">
        <v>707</v>
      </c>
      <c r="F201" s="138" t="s">
        <v>811</v>
      </c>
      <c r="G201" s="138" t="s">
        <v>812</v>
      </c>
      <c r="H201" s="138" t="s">
        <v>813</v>
      </c>
      <c r="I201" s="138" t="s">
        <v>1234</v>
      </c>
      <c r="J201" s="138" t="s">
        <v>662</v>
      </c>
      <c r="K201" s="138" t="s">
        <v>1235</v>
      </c>
      <c r="L201" s="138" t="s">
        <v>60</v>
      </c>
      <c r="M201" s="138" t="s">
        <v>1236</v>
      </c>
      <c r="N201" s="138" t="s">
        <v>654</v>
      </c>
      <c r="O201" s="138" t="s">
        <v>655</v>
      </c>
      <c r="P201"/>
      <c r="Q201"/>
    </row>
    <row r="202" spans="1:19">
      <c r="A202" t="str">
        <f t="shared" si="21"/>
        <v>10-24</v>
      </c>
      <c r="B202" t="str">
        <f t="shared" si="22"/>
        <v>USD</v>
      </c>
      <c r="C202" s="138" t="s">
        <v>656</v>
      </c>
      <c r="D202" s="138">
        <v>1231024</v>
      </c>
      <c r="E202" s="138" t="s">
        <v>707</v>
      </c>
      <c r="F202" s="138" t="s">
        <v>811</v>
      </c>
      <c r="G202" s="138" t="s">
        <v>812</v>
      </c>
      <c r="H202" s="138" t="s">
        <v>813</v>
      </c>
      <c r="I202" s="138" t="s">
        <v>1237</v>
      </c>
      <c r="J202" s="138" t="s">
        <v>662</v>
      </c>
      <c r="K202" s="138" t="s">
        <v>1238</v>
      </c>
      <c r="L202" s="138" t="s">
        <v>60</v>
      </c>
      <c r="M202" s="138" t="s">
        <v>1236</v>
      </c>
      <c r="N202" s="138" t="s">
        <v>654</v>
      </c>
      <c r="O202" s="138" t="s">
        <v>655</v>
      </c>
      <c r="P202"/>
      <c r="Q202"/>
    </row>
    <row r="203" spans="1:19">
      <c r="A203" t="str">
        <f t="shared" si="21"/>
        <v>10-24</v>
      </c>
      <c r="B203" t="str">
        <f t="shared" si="22"/>
        <v>USD</v>
      </c>
      <c r="C203" s="141" t="s">
        <v>656</v>
      </c>
      <c r="D203" s="141">
        <v>1231024</v>
      </c>
      <c r="E203" s="141" t="s">
        <v>657</v>
      </c>
      <c r="F203" s="141" t="s">
        <v>824</v>
      </c>
      <c r="G203" s="141" t="s">
        <v>825</v>
      </c>
      <c r="H203" s="141" t="s">
        <v>813</v>
      </c>
      <c r="I203" s="141" t="s">
        <v>1271</v>
      </c>
      <c r="J203" s="141" t="s">
        <v>662</v>
      </c>
      <c r="K203" s="141" t="s">
        <v>1335</v>
      </c>
      <c r="L203" s="141" t="s">
        <v>165</v>
      </c>
      <c r="M203" s="141" t="s">
        <v>1152</v>
      </c>
      <c r="N203" s="141" t="s">
        <v>654</v>
      </c>
      <c r="O203" s="141" t="s">
        <v>799</v>
      </c>
      <c r="P203"/>
      <c r="Q203"/>
    </row>
    <row r="204" spans="1:19">
      <c r="A204" t="str">
        <f t="shared" si="21"/>
        <v>10-25</v>
      </c>
      <c r="B204" t="str">
        <f t="shared" si="22"/>
        <v>USD</v>
      </c>
      <c r="C204" s="138" t="s">
        <v>656</v>
      </c>
      <c r="D204" s="138">
        <v>1231025</v>
      </c>
      <c r="E204" s="138" t="s">
        <v>707</v>
      </c>
      <c r="F204" s="138" t="s">
        <v>800</v>
      </c>
      <c r="G204" s="138" t="s">
        <v>801</v>
      </c>
      <c r="H204" s="138" t="s">
        <v>660</v>
      </c>
      <c r="I204" s="138" t="s">
        <v>1272</v>
      </c>
      <c r="J204" s="138" t="s">
        <v>662</v>
      </c>
      <c r="K204" s="138" t="s">
        <v>1336</v>
      </c>
      <c r="L204" s="138" t="s">
        <v>58</v>
      </c>
      <c r="M204" s="138" t="s">
        <v>1337</v>
      </c>
      <c r="N204" s="138" t="s">
        <v>654</v>
      </c>
      <c r="O204" s="138" t="s">
        <v>665</v>
      </c>
      <c r="P204"/>
      <c r="Q204"/>
    </row>
    <row r="205" spans="1:19">
      <c r="A205" t="str">
        <f t="shared" si="21"/>
        <v>10-25</v>
      </c>
      <c r="B205" t="str">
        <f t="shared" si="22"/>
        <v>USD</v>
      </c>
      <c r="C205" s="138" t="s">
        <v>656</v>
      </c>
      <c r="D205" s="138">
        <v>1231025</v>
      </c>
      <c r="E205" s="138" t="s">
        <v>707</v>
      </c>
      <c r="F205" s="138" t="s">
        <v>800</v>
      </c>
      <c r="G205" s="138" t="s">
        <v>801</v>
      </c>
      <c r="H205" s="138" t="s">
        <v>660</v>
      </c>
      <c r="I205" s="138" t="s">
        <v>1273</v>
      </c>
      <c r="J205" s="138" t="s">
        <v>662</v>
      </c>
      <c r="K205" s="138" t="s">
        <v>1338</v>
      </c>
      <c r="L205" s="138" t="s">
        <v>58</v>
      </c>
      <c r="M205" s="138" t="s">
        <v>1337</v>
      </c>
      <c r="N205" s="138" t="s">
        <v>654</v>
      </c>
      <c r="O205" s="138" t="s">
        <v>665</v>
      </c>
      <c r="P205"/>
      <c r="Q205"/>
    </row>
    <row r="206" spans="1:19">
      <c r="A206" t="str">
        <f t="shared" si="21"/>
        <v>10-25</v>
      </c>
      <c r="B206" t="str">
        <f t="shared" si="22"/>
        <v>USD</v>
      </c>
      <c r="C206" s="138" t="s">
        <v>656</v>
      </c>
      <c r="D206" s="138">
        <v>1231025</v>
      </c>
      <c r="E206" s="138" t="s">
        <v>707</v>
      </c>
      <c r="F206" s="138" t="s">
        <v>811</v>
      </c>
      <c r="G206" s="138" t="s">
        <v>812</v>
      </c>
      <c r="H206" s="138" t="s">
        <v>813</v>
      </c>
      <c r="I206" s="138" t="s">
        <v>1274</v>
      </c>
      <c r="J206" s="138" t="s">
        <v>662</v>
      </c>
      <c r="K206" s="138" t="s">
        <v>1339</v>
      </c>
      <c r="L206" s="138" t="s">
        <v>58</v>
      </c>
      <c r="M206" s="138" t="s">
        <v>1334</v>
      </c>
      <c r="N206" s="138" t="s">
        <v>654</v>
      </c>
      <c r="O206" s="138" t="s">
        <v>665</v>
      </c>
      <c r="P206"/>
      <c r="Q206"/>
    </row>
    <row r="207" spans="1:19">
      <c r="A207" t="str">
        <f t="shared" si="21"/>
        <v>10-25</v>
      </c>
      <c r="B207" t="str">
        <f t="shared" si="22"/>
        <v>USD</v>
      </c>
      <c r="C207" s="138" t="s">
        <v>656</v>
      </c>
      <c r="D207" s="138">
        <v>1231025</v>
      </c>
      <c r="E207" s="138" t="s">
        <v>707</v>
      </c>
      <c r="F207" s="138" t="s">
        <v>811</v>
      </c>
      <c r="G207" s="138" t="s">
        <v>812</v>
      </c>
      <c r="H207" s="138" t="s">
        <v>813</v>
      </c>
      <c r="I207" s="138" t="s">
        <v>1275</v>
      </c>
      <c r="J207" s="138" t="s">
        <v>662</v>
      </c>
      <c r="K207" s="138" t="s">
        <v>1340</v>
      </c>
      <c r="L207" s="138" t="s">
        <v>58</v>
      </c>
      <c r="M207" s="138" t="s">
        <v>1334</v>
      </c>
      <c r="N207" s="138" t="s">
        <v>654</v>
      </c>
      <c r="O207" s="138" t="s">
        <v>665</v>
      </c>
      <c r="P207"/>
      <c r="Q207"/>
    </row>
    <row r="208" spans="1:19">
      <c r="A208" t="str">
        <f t="shared" si="21"/>
        <v>10-25</v>
      </c>
      <c r="B208" t="str">
        <f t="shared" si="22"/>
        <v>USD</v>
      </c>
      <c r="C208" s="138" t="s">
        <v>656</v>
      </c>
      <c r="D208" s="138">
        <v>1231025</v>
      </c>
      <c r="E208" s="138" t="s">
        <v>707</v>
      </c>
      <c r="F208" s="138" t="s">
        <v>811</v>
      </c>
      <c r="G208" s="138" t="s">
        <v>812</v>
      </c>
      <c r="H208" s="138" t="s">
        <v>813</v>
      </c>
      <c r="I208" s="138" t="s">
        <v>1276</v>
      </c>
      <c r="J208" s="138" t="s">
        <v>662</v>
      </c>
      <c r="K208" s="138" t="s">
        <v>1341</v>
      </c>
      <c r="L208" s="138" t="s">
        <v>58</v>
      </c>
      <c r="M208" s="138" t="s">
        <v>1342</v>
      </c>
      <c r="N208" s="138" t="s">
        <v>654</v>
      </c>
      <c r="O208" s="138" t="s">
        <v>665</v>
      </c>
      <c r="P208"/>
      <c r="Q208"/>
    </row>
    <row r="209" spans="1:30">
      <c r="A209" t="str">
        <f t="shared" si="21"/>
        <v>10-25</v>
      </c>
      <c r="B209" t="str">
        <f t="shared" si="22"/>
        <v>USD</v>
      </c>
      <c r="C209" s="138" t="s">
        <v>656</v>
      </c>
      <c r="D209" s="138">
        <v>1231025</v>
      </c>
      <c r="E209" s="138" t="s">
        <v>707</v>
      </c>
      <c r="F209" s="138" t="s">
        <v>811</v>
      </c>
      <c r="G209" s="138" t="s">
        <v>812</v>
      </c>
      <c r="H209" s="138" t="s">
        <v>813</v>
      </c>
      <c r="I209" s="138" t="s">
        <v>1277</v>
      </c>
      <c r="J209" s="138" t="s">
        <v>662</v>
      </c>
      <c r="K209" s="138" t="s">
        <v>1343</v>
      </c>
      <c r="L209" s="138" t="s">
        <v>58</v>
      </c>
      <c r="M209" s="138" t="s">
        <v>1033</v>
      </c>
      <c r="N209" s="138" t="s">
        <v>654</v>
      </c>
      <c r="O209" s="138" t="s">
        <v>665</v>
      </c>
      <c r="P209"/>
      <c r="Q209"/>
    </row>
    <row r="210" spans="1:30">
      <c r="A210" t="str">
        <f t="shared" si="21"/>
        <v>10-25</v>
      </c>
      <c r="B210" t="str">
        <f t="shared" si="22"/>
        <v>USD</v>
      </c>
      <c r="C210" s="138" t="s">
        <v>656</v>
      </c>
      <c r="D210" s="138">
        <v>1231025</v>
      </c>
      <c r="E210" s="138" t="s">
        <v>657</v>
      </c>
      <c r="F210" s="138" t="s">
        <v>824</v>
      </c>
      <c r="G210" s="138" t="s">
        <v>825</v>
      </c>
      <c r="H210" s="138" t="s">
        <v>813</v>
      </c>
      <c r="I210" s="138" t="s">
        <v>1278</v>
      </c>
      <c r="J210" s="138" t="s">
        <v>662</v>
      </c>
      <c r="K210" s="138" t="s">
        <v>1344</v>
      </c>
      <c r="L210" s="138" t="s">
        <v>95</v>
      </c>
      <c r="M210" s="138" t="s">
        <v>664</v>
      </c>
      <c r="N210" s="138" t="s">
        <v>654</v>
      </c>
      <c r="O210" s="138" t="s">
        <v>665</v>
      </c>
      <c r="P210"/>
      <c r="Q210"/>
    </row>
    <row r="211" spans="1:30">
      <c r="A211" t="str">
        <f t="shared" si="21"/>
        <v>10-25</v>
      </c>
      <c r="B211" t="str">
        <f t="shared" si="22"/>
        <v>USD</v>
      </c>
      <c r="C211" s="138" t="s">
        <v>656</v>
      </c>
      <c r="D211" s="138">
        <v>1231025</v>
      </c>
      <c r="E211" s="138" t="s">
        <v>657</v>
      </c>
      <c r="F211" s="138" t="s">
        <v>824</v>
      </c>
      <c r="G211" s="138" t="s">
        <v>825</v>
      </c>
      <c r="H211" s="138" t="s">
        <v>813</v>
      </c>
      <c r="I211" s="138" t="s">
        <v>1279</v>
      </c>
      <c r="J211" s="138" t="s">
        <v>662</v>
      </c>
      <c r="K211" s="138" t="s">
        <v>1345</v>
      </c>
      <c r="L211" s="138" t="s">
        <v>95</v>
      </c>
      <c r="M211" s="138" t="s">
        <v>664</v>
      </c>
      <c r="N211" s="138" t="s">
        <v>654</v>
      </c>
      <c r="O211" s="138" t="s">
        <v>665</v>
      </c>
      <c r="P211"/>
      <c r="Q211"/>
    </row>
    <row r="212" spans="1:30">
      <c r="A212" t="str">
        <f t="shared" ref="A212:A240" si="23">MID(D212,(LEN(D212)-3),2)&amp;"-"&amp;MID(D212,(LEN(D212)-1),2)</f>
        <v>10-25</v>
      </c>
      <c r="B212" t="str">
        <f t="shared" ref="B212:B240" si="24">IF(H212="AU","AUD","USD")</f>
        <v>USD</v>
      </c>
      <c r="C212" s="138" t="s">
        <v>656</v>
      </c>
      <c r="D212" s="138">
        <v>1231025</v>
      </c>
      <c r="E212" s="138" t="s">
        <v>657</v>
      </c>
      <c r="F212" s="138" t="s">
        <v>824</v>
      </c>
      <c r="G212" s="138" t="s">
        <v>825</v>
      </c>
      <c r="H212" s="138" t="s">
        <v>813</v>
      </c>
      <c r="I212" s="138" t="s">
        <v>1280</v>
      </c>
      <c r="J212" s="138" t="s">
        <v>662</v>
      </c>
      <c r="K212" s="138" t="s">
        <v>1346</v>
      </c>
      <c r="L212" s="138" t="s">
        <v>95</v>
      </c>
      <c r="M212" s="138" t="s">
        <v>664</v>
      </c>
      <c r="N212" s="138" t="s">
        <v>654</v>
      </c>
      <c r="O212" s="138" t="s">
        <v>665</v>
      </c>
      <c r="P212"/>
      <c r="Q212"/>
    </row>
    <row r="213" spans="1:30">
      <c r="A213" t="str">
        <f t="shared" si="23"/>
        <v>10-26</v>
      </c>
      <c r="B213" t="str">
        <f t="shared" si="24"/>
        <v>USD</v>
      </c>
      <c r="C213" s="138" t="s">
        <v>656</v>
      </c>
      <c r="D213" s="138">
        <v>1231026</v>
      </c>
      <c r="E213" s="138" t="s">
        <v>707</v>
      </c>
      <c r="F213" s="138" t="s">
        <v>800</v>
      </c>
      <c r="G213" s="138" t="s">
        <v>801</v>
      </c>
      <c r="H213" s="138" t="s">
        <v>660</v>
      </c>
      <c r="I213" s="138" t="s">
        <v>1281</v>
      </c>
      <c r="J213" s="138" t="s">
        <v>662</v>
      </c>
      <c r="K213" s="138" t="s">
        <v>1347</v>
      </c>
      <c r="L213" s="138" t="s">
        <v>62</v>
      </c>
      <c r="M213" s="138" t="s">
        <v>1348</v>
      </c>
      <c r="N213" s="138" t="s">
        <v>654</v>
      </c>
      <c r="O213" s="138" t="s">
        <v>799</v>
      </c>
      <c r="P213"/>
      <c r="Q213"/>
    </row>
    <row r="214" spans="1:30">
      <c r="A214" t="str">
        <f t="shared" si="23"/>
        <v>10-26</v>
      </c>
      <c r="B214" t="str">
        <f t="shared" si="24"/>
        <v>USD</v>
      </c>
      <c r="C214" s="141" t="s">
        <v>656</v>
      </c>
      <c r="D214" s="141">
        <v>1231026</v>
      </c>
      <c r="E214" s="141" t="s">
        <v>707</v>
      </c>
      <c r="F214" s="141" t="s">
        <v>800</v>
      </c>
      <c r="G214" s="141" t="s">
        <v>801</v>
      </c>
      <c r="H214" s="141" t="s">
        <v>660</v>
      </c>
      <c r="I214" s="141" t="s">
        <v>1282</v>
      </c>
      <c r="J214" s="141" t="s">
        <v>662</v>
      </c>
      <c r="K214" s="141" t="s">
        <v>1349</v>
      </c>
      <c r="L214" s="141" t="s">
        <v>62</v>
      </c>
      <c r="M214" s="141" t="s">
        <v>1097</v>
      </c>
      <c r="N214" s="141" t="s">
        <v>654</v>
      </c>
      <c r="O214" s="141" t="s">
        <v>799</v>
      </c>
      <c r="P214"/>
      <c r="Q214"/>
    </row>
    <row r="215" spans="1:30">
      <c r="A215" t="str">
        <f t="shared" si="23"/>
        <v>10-27</v>
      </c>
      <c r="B215" t="str">
        <f t="shared" si="24"/>
        <v>USD</v>
      </c>
      <c r="C215" s="141" t="s">
        <v>656</v>
      </c>
      <c r="D215" s="141">
        <v>1231027</v>
      </c>
      <c r="E215" s="141" t="s">
        <v>707</v>
      </c>
      <c r="F215" s="141" t="s">
        <v>1028</v>
      </c>
      <c r="G215" s="141" t="s">
        <v>1029</v>
      </c>
      <c r="H215" s="141" t="s">
        <v>1030</v>
      </c>
      <c r="I215" s="141" t="s">
        <v>1661</v>
      </c>
      <c r="J215" s="141" t="s">
        <v>662</v>
      </c>
      <c r="K215" s="141" t="s">
        <v>1662</v>
      </c>
      <c r="L215" s="141" t="s">
        <v>234</v>
      </c>
      <c r="M215" s="141" t="s">
        <v>1663</v>
      </c>
      <c r="N215" s="141" t="s">
        <v>654</v>
      </c>
      <c r="O215" s="141" t="s">
        <v>714</v>
      </c>
      <c r="P215"/>
      <c r="Q215"/>
    </row>
    <row r="216" spans="1:30">
      <c r="A216" t="str">
        <f t="shared" si="23"/>
        <v>10-27</v>
      </c>
      <c r="B216" t="str">
        <f t="shared" si="24"/>
        <v>USD</v>
      </c>
      <c r="C216" s="138" t="s">
        <v>656</v>
      </c>
      <c r="D216" s="138">
        <v>1231027</v>
      </c>
      <c r="E216" s="138" t="s">
        <v>707</v>
      </c>
      <c r="F216" s="138" t="s">
        <v>1664</v>
      </c>
      <c r="G216" s="138" t="s">
        <v>709</v>
      </c>
      <c r="H216" s="138" t="s">
        <v>710</v>
      </c>
      <c r="I216" s="138" t="s">
        <v>1665</v>
      </c>
      <c r="J216" s="138" t="s">
        <v>662</v>
      </c>
      <c r="K216" s="138" t="s">
        <v>1666</v>
      </c>
      <c r="L216" s="138" t="s">
        <v>60</v>
      </c>
      <c r="M216" s="138" t="s">
        <v>1667</v>
      </c>
      <c r="N216" s="138" t="s">
        <v>654</v>
      </c>
      <c r="O216" s="138" t="s">
        <v>655</v>
      </c>
      <c r="P216"/>
      <c r="Q216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4"/>
      <c r="AC216"/>
      <c r="AD216" s="133"/>
    </row>
    <row r="217" spans="1:30">
      <c r="A217" t="str">
        <f t="shared" si="23"/>
        <v>10-27</v>
      </c>
      <c r="B217" t="str">
        <f t="shared" si="24"/>
        <v>USD</v>
      </c>
      <c r="C217" s="138" t="s">
        <v>656</v>
      </c>
      <c r="D217" s="138">
        <v>1231027</v>
      </c>
      <c r="E217" s="138" t="s">
        <v>707</v>
      </c>
      <c r="F217" s="138" t="s">
        <v>1664</v>
      </c>
      <c r="G217" s="138" t="s">
        <v>709</v>
      </c>
      <c r="H217" s="138" t="s">
        <v>710</v>
      </c>
      <c r="I217" s="138" t="s">
        <v>1668</v>
      </c>
      <c r="J217" s="138" t="s">
        <v>662</v>
      </c>
      <c r="K217" s="138" t="s">
        <v>1666</v>
      </c>
      <c r="L217" s="138" t="s">
        <v>60</v>
      </c>
      <c r="M217" s="138" t="s">
        <v>1667</v>
      </c>
      <c r="N217" s="138" t="s">
        <v>654</v>
      </c>
      <c r="O217" s="138" t="s">
        <v>655</v>
      </c>
      <c r="P217"/>
      <c r="Q217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/>
      <c r="AD217" s="133"/>
    </row>
    <row r="218" spans="1:30">
      <c r="A218" t="str">
        <f t="shared" si="23"/>
        <v>10-27</v>
      </c>
      <c r="B218" t="str">
        <f t="shared" si="24"/>
        <v>USD</v>
      </c>
      <c r="C218" s="138" t="s">
        <v>656</v>
      </c>
      <c r="D218" s="138">
        <v>1231027</v>
      </c>
      <c r="E218" s="138" t="s">
        <v>707</v>
      </c>
      <c r="F218" s="138" t="s">
        <v>1664</v>
      </c>
      <c r="G218" s="138" t="s">
        <v>709</v>
      </c>
      <c r="H218" s="138" t="s">
        <v>710</v>
      </c>
      <c r="I218" s="138" t="s">
        <v>1669</v>
      </c>
      <c r="J218" s="138" t="s">
        <v>662</v>
      </c>
      <c r="K218" s="138" t="s">
        <v>1666</v>
      </c>
      <c r="L218" s="138" t="s">
        <v>60</v>
      </c>
      <c r="M218" s="138" t="s">
        <v>1667</v>
      </c>
      <c r="N218" s="138" t="s">
        <v>654</v>
      </c>
      <c r="O218" s="138" t="s">
        <v>655</v>
      </c>
      <c r="P218"/>
      <c r="Q218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/>
      <c r="AD218" s="133"/>
    </row>
    <row r="219" spans="1:30">
      <c r="A219" t="str">
        <f t="shared" si="23"/>
        <v>10-27</v>
      </c>
      <c r="B219" t="str">
        <f t="shared" si="24"/>
        <v>USD</v>
      </c>
      <c r="C219" s="138" t="s">
        <v>656</v>
      </c>
      <c r="D219" s="138">
        <v>1231027</v>
      </c>
      <c r="E219" s="138" t="s">
        <v>707</v>
      </c>
      <c r="F219" s="138" t="s">
        <v>1664</v>
      </c>
      <c r="G219" s="138" t="s">
        <v>709</v>
      </c>
      <c r="H219" s="138" t="s">
        <v>710</v>
      </c>
      <c r="I219" s="138" t="s">
        <v>1670</v>
      </c>
      <c r="J219" s="138" t="s">
        <v>662</v>
      </c>
      <c r="K219" s="138" t="s">
        <v>1666</v>
      </c>
      <c r="L219" s="138" t="s">
        <v>60</v>
      </c>
      <c r="M219" s="138" t="s">
        <v>1667</v>
      </c>
      <c r="N219" s="138" t="s">
        <v>654</v>
      </c>
      <c r="O219" s="138" t="s">
        <v>655</v>
      </c>
      <c r="P219"/>
      <c r="Q219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/>
      <c r="AD219" s="133"/>
    </row>
    <row r="220" spans="1:30">
      <c r="A220" t="str">
        <f t="shared" si="23"/>
        <v>10-27</v>
      </c>
      <c r="B220" t="str">
        <f t="shared" si="24"/>
        <v>USD</v>
      </c>
      <c r="C220" s="138" t="s">
        <v>656</v>
      </c>
      <c r="D220" s="138">
        <v>1231027</v>
      </c>
      <c r="E220" s="138" t="s">
        <v>707</v>
      </c>
      <c r="F220" s="138" t="s">
        <v>1664</v>
      </c>
      <c r="G220" s="138" t="s">
        <v>709</v>
      </c>
      <c r="H220" s="138" t="s">
        <v>710</v>
      </c>
      <c r="I220" s="138" t="s">
        <v>1671</v>
      </c>
      <c r="J220" s="138" t="s">
        <v>662</v>
      </c>
      <c r="K220" s="138" t="s">
        <v>1666</v>
      </c>
      <c r="L220" s="138" t="s">
        <v>60</v>
      </c>
      <c r="M220" s="138" t="s">
        <v>1667</v>
      </c>
      <c r="N220" s="138" t="s">
        <v>654</v>
      </c>
      <c r="O220" s="138" t="s">
        <v>655</v>
      </c>
      <c r="P220"/>
      <c r="Q220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/>
      <c r="AD220" s="133"/>
    </row>
    <row r="221" spans="1:30">
      <c r="A221" t="str">
        <f t="shared" si="23"/>
        <v>10-27</v>
      </c>
      <c r="B221" t="str">
        <f t="shared" si="24"/>
        <v>USD</v>
      </c>
      <c r="C221" s="138" t="s">
        <v>656</v>
      </c>
      <c r="D221" s="138">
        <v>1231027</v>
      </c>
      <c r="E221" s="138" t="s">
        <v>707</v>
      </c>
      <c r="F221" s="138" t="s">
        <v>1664</v>
      </c>
      <c r="G221" s="138" t="s">
        <v>709</v>
      </c>
      <c r="H221" s="138" t="s">
        <v>710</v>
      </c>
      <c r="I221" s="138" t="s">
        <v>1672</v>
      </c>
      <c r="J221" s="138" t="s">
        <v>662</v>
      </c>
      <c r="K221" s="138" t="s">
        <v>1666</v>
      </c>
      <c r="L221" s="138" t="s">
        <v>60</v>
      </c>
      <c r="M221" s="138" t="s">
        <v>1667</v>
      </c>
      <c r="N221" s="138" t="s">
        <v>654</v>
      </c>
      <c r="O221" s="138" t="s">
        <v>655</v>
      </c>
      <c r="P221"/>
      <c r="Q22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/>
      <c r="AD221" s="133"/>
    </row>
    <row r="222" spans="1:30">
      <c r="A222" t="str">
        <f t="shared" si="23"/>
        <v>10-27</v>
      </c>
      <c r="B222" t="str">
        <f t="shared" si="24"/>
        <v>USD</v>
      </c>
      <c r="C222" s="138" t="s">
        <v>656</v>
      </c>
      <c r="D222" s="138">
        <v>1231027</v>
      </c>
      <c r="E222" s="138" t="s">
        <v>707</v>
      </c>
      <c r="F222" s="138" t="s">
        <v>1664</v>
      </c>
      <c r="G222" s="138" t="s">
        <v>709</v>
      </c>
      <c r="H222" s="138" t="s">
        <v>710</v>
      </c>
      <c r="I222" s="138" t="s">
        <v>1673</v>
      </c>
      <c r="J222" s="138" t="s">
        <v>662</v>
      </c>
      <c r="K222" s="138" t="s">
        <v>1666</v>
      </c>
      <c r="L222" s="138" t="s">
        <v>60</v>
      </c>
      <c r="M222" s="138" t="s">
        <v>1667</v>
      </c>
      <c r="N222" s="138" t="s">
        <v>654</v>
      </c>
      <c r="O222" s="138" t="s">
        <v>655</v>
      </c>
      <c r="P222"/>
      <c r="Q222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/>
      <c r="AD222" s="133"/>
    </row>
    <row r="223" spans="1:30">
      <c r="A223" t="str">
        <f t="shared" si="23"/>
        <v>10-27</v>
      </c>
      <c r="B223" t="str">
        <f t="shared" si="24"/>
        <v>USD</v>
      </c>
      <c r="C223" s="138" t="s">
        <v>656</v>
      </c>
      <c r="D223" s="138">
        <v>1231027</v>
      </c>
      <c r="E223" s="138" t="s">
        <v>707</v>
      </c>
      <c r="F223" s="138" t="s">
        <v>1664</v>
      </c>
      <c r="G223" s="138" t="s">
        <v>709</v>
      </c>
      <c r="H223" s="138" t="s">
        <v>710</v>
      </c>
      <c r="I223" s="138" t="s">
        <v>1674</v>
      </c>
      <c r="J223" s="138" t="s">
        <v>662</v>
      </c>
      <c r="K223" s="138" t="s">
        <v>1666</v>
      </c>
      <c r="L223" s="138" t="s">
        <v>60</v>
      </c>
      <c r="M223" s="138" t="s">
        <v>1667</v>
      </c>
      <c r="N223" s="138" t="s">
        <v>654</v>
      </c>
      <c r="O223" s="138" t="s">
        <v>655</v>
      </c>
      <c r="P223" s="131"/>
      <c r="Q223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/>
      <c r="AD223" s="133"/>
    </row>
    <row r="224" spans="1:30">
      <c r="A224" t="str">
        <f t="shared" si="23"/>
        <v>10-27</v>
      </c>
      <c r="B224" t="str">
        <f t="shared" si="24"/>
        <v>USD</v>
      </c>
      <c r="C224" s="138" t="s">
        <v>656</v>
      </c>
      <c r="D224" s="138">
        <v>1231027</v>
      </c>
      <c r="E224" s="138" t="s">
        <v>707</v>
      </c>
      <c r="F224" s="138" t="s">
        <v>1664</v>
      </c>
      <c r="G224" s="138" t="s">
        <v>709</v>
      </c>
      <c r="H224" s="138" t="s">
        <v>710</v>
      </c>
      <c r="I224" s="138" t="s">
        <v>1675</v>
      </c>
      <c r="J224" s="138" t="s">
        <v>662</v>
      </c>
      <c r="K224" s="138" t="s">
        <v>1666</v>
      </c>
      <c r="L224" s="138" t="s">
        <v>58</v>
      </c>
      <c r="M224" s="138" t="s">
        <v>1334</v>
      </c>
      <c r="N224" s="138" t="s">
        <v>654</v>
      </c>
      <c r="O224" s="138" t="s">
        <v>665</v>
      </c>
      <c r="P224" s="131"/>
      <c r="Q224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/>
      <c r="AD224" s="133"/>
    </row>
    <row r="225" spans="1:30">
      <c r="A225" t="str">
        <f t="shared" si="23"/>
        <v>10-27</v>
      </c>
      <c r="B225" t="str">
        <f t="shared" si="24"/>
        <v>USD</v>
      </c>
      <c r="C225" s="138" t="s">
        <v>656</v>
      </c>
      <c r="D225" s="138">
        <v>1231027</v>
      </c>
      <c r="E225" s="138" t="s">
        <v>707</v>
      </c>
      <c r="F225" s="138" t="s">
        <v>1664</v>
      </c>
      <c r="G225" s="138" t="s">
        <v>709</v>
      </c>
      <c r="H225" s="138" t="s">
        <v>710</v>
      </c>
      <c r="I225" s="138" t="s">
        <v>1676</v>
      </c>
      <c r="J225" s="138" t="s">
        <v>662</v>
      </c>
      <c r="K225" s="138" t="s">
        <v>1666</v>
      </c>
      <c r="L225" s="138" t="s">
        <v>58</v>
      </c>
      <c r="M225" s="138" t="s">
        <v>1334</v>
      </c>
      <c r="N225" s="138" t="s">
        <v>654</v>
      </c>
      <c r="O225" s="138" t="s">
        <v>665</v>
      </c>
      <c r="P225" s="131"/>
      <c r="Q225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/>
      <c r="AD225" s="133"/>
    </row>
    <row r="226" spans="1:30">
      <c r="A226" t="str">
        <f t="shared" si="23"/>
        <v>10-27</v>
      </c>
      <c r="B226" t="str">
        <f t="shared" si="24"/>
        <v>USD</v>
      </c>
      <c r="C226" s="141" t="s">
        <v>656</v>
      </c>
      <c r="D226" s="141">
        <v>1231027</v>
      </c>
      <c r="E226" s="141" t="s">
        <v>707</v>
      </c>
      <c r="F226" s="141" t="s">
        <v>1664</v>
      </c>
      <c r="G226" s="141" t="s">
        <v>709</v>
      </c>
      <c r="H226" s="141" t="s">
        <v>710</v>
      </c>
      <c r="I226" s="141" t="s">
        <v>1677</v>
      </c>
      <c r="J226" s="141" t="s">
        <v>662</v>
      </c>
      <c r="K226" s="141" t="s">
        <v>1666</v>
      </c>
      <c r="L226" s="141" t="s">
        <v>58</v>
      </c>
      <c r="M226" s="141" t="s">
        <v>1334</v>
      </c>
      <c r="N226" s="141" t="s">
        <v>654</v>
      </c>
      <c r="O226" s="141" t="s">
        <v>665</v>
      </c>
      <c r="P226" s="131"/>
      <c r="Q226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/>
      <c r="AD226"/>
    </row>
    <row r="227" spans="1:30">
      <c r="A227" t="str">
        <f t="shared" si="23"/>
        <v>10-27</v>
      </c>
      <c r="B227" t="str">
        <f t="shared" si="24"/>
        <v>USD</v>
      </c>
      <c r="C227" s="141" t="s">
        <v>656</v>
      </c>
      <c r="D227" s="141">
        <v>1231027</v>
      </c>
      <c r="E227" s="141" t="s">
        <v>707</v>
      </c>
      <c r="F227" s="141" t="s">
        <v>1664</v>
      </c>
      <c r="G227" s="141" t="s">
        <v>709</v>
      </c>
      <c r="H227" s="141" t="s">
        <v>710</v>
      </c>
      <c r="I227" s="141" t="s">
        <v>1678</v>
      </c>
      <c r="J227" s="141" t="s">
        <v>662</v>
      </c>
      <c r="K227" s="141" t="s">
        <v>1666</v>
      </c>
      <c r="L227" s="141" t="s">
        <v>500</v>
      </c>
      <c r="M227" s="141" t="s">
        <v>1679</v>
      </c>
      <c r="N227" s="141" t="s">
        <v>654</v>
      </c>
      <c r="O227" s="141" t="s">
        <v>655</v>
      </c>
      <c r="P227" s="131"/>
      <c r="Q227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/>
      <c r="AD227"/>
    </row>
    <row r="228" spans="1:30">
      <c r="A228" t="str">
        <f t="shared" si="23"/>
        <v>10-27</v>
      </c>
      <c r="B228" t="str">
        <f t="shared" si="24"/>
        <v>USD</v>
      </c>
      <c r="C228" s="141" t="s">
        <v>656</v>
      </c>
      <c r="D228" s="141">
        <v>1231027</v>
      </c>
      <c r="E228" s="141" t="s">
        <v>707</v>
      </c>
      <c r="F228" s="141" t="s">
        <v>1664</v>
      </c>
      <c r="G228" s="141" t="s">
        <v>709</v>
      </c>
      <c r="H228" s="141" t="s">
        <v>710</v>
      </c>
      <c r="I228" s="141" t="s">
        <v>1680</v>
      </c>
      <c r="J228" s="141" t="s">
        <v>662</v>
      </c>
      <c r="K228" s="141" t="s">
        <v>1666</v>
      </c>
      <c r="L228" s="141" t="s">
        <v>500</v>
      </c>
      <c r="M228" s="141" t="s">
        <v>1679</v>
      </c>
      <c r="N228" s="141" t="s">
        <v>654</v>
      </c>
      <c r="O228" s="141" t="s">
        <v>655</v>
      </c>
      <c r="P228" s="131"/>
      <c r="Q228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/>
      <c r="AD228"/>
    </row>
    <row r="229" spans="1:30">
      <c r="A229" t="str">
        <f t="shared" si="23"/>
        <v>10-27</v>
      </c>
      <c r="B229" t="str">
        <f t="shared" si="24"/>
        <v>USD</v>
      </c>
      <c r="C229" s="141" t="s">
        <v>656</v>
      </c>
      <c r="D229" s="141">
        <v>1231027</v>
      </c>
      <c r="E229" s="141" t="s">
        <v>707</v>
      </c>
      <c r="F229" s="141" t="s">
        <v>1664</v>
      </c>
      <c r="G229" s="141" t="s">
        <v>709</v>
      </c>
      <c r="H229" s="141" t="s">
        <v>710</v>
      </c>
      <c r="I229" s="141" t="s">
        <v>1681</v>
      </c>
      <c r="J229" s="141" t="s">
        <v>662</v>
      </c>
      <c r="K229" s="141" t="s">
        <v>1666</v>
      </c>
      <c r="L229" s="141" t="s">
        <v>500</v>
      </c>
      <c r="M229" s="141" t="s">
        <v>1679</v>
      </c>
      <c r="N229" s="141" t="s">
        <v>654</v>
      </c>
      <c r="O229" s="141" t="s">
        <v>655</v>
      </c>
      <c r="P229" s="131"/>
      <c r="Q229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/>
      <c r="AD229"/>
    </row>
    <row r="230" spans="1:30">
      <c r="A230" t="str">
        <f t="shared" si="23"/>
        <v>10-27</v>
      </c>
      <c r="B230" t="str">
        <f t="shared" si="24"/>
        <v>USD</v>
      </c>
      <c r="C230" s="141" t="s">
        <v>656</v>
      </c>
      <c r="D230" s="141">
        <v>1231027</v>
      </c>
      <c r="E230" s="141" t="s">
        <v>707</v>
      </c>
      <c r="F230" s="141" t="s">
        <v>1664</v>
      </c>
      <c r="G230" s="141" t="s">
        <v>709</v>
      </c>
      <c r="H230" s="141" t="s">
        <v>710</v>
      </c>
      <c r="I230" s="141" t="s">
        <v>1682</v>
      </c>
      <c r="J230" s="141" t="s">
        <v>662</v>
      </c>
      <c r="K230" s="141" t="s">
        <v>1666</v>
      </c>
      <c r="L230" s="141" t="s">
        <v>500</v>
      </c>
      <c r="M230" s="141" t="s">
        <v>1679</v>
      </c>
      <c r="N230" s="141" t="s">
        <v>654</v>
      </c>
      <c r="O230" s="141" t="s">
        <v>655</v>
      </c>
      <c r="P230" s="131"/>
      <c r="Q230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/>
      <c r="AD230"/>
    </row>
    <row r="231" spans="1:30">
      <c r="A231" t="str">
        <f t="shared" si="23"/>
        <v>10-27</v>
      </c>
      <c r="B231" t="str">
        <f t="shared" si="24"/>
        <v>USD</v>
      </c>
      <c r="C231" s="141" t="s">
        <v>656</v>
      </c>
      <c r="D231" s="141">
        <v>1231027</v>
      </c>
      <c r="E231" s="141" t="s">
        <v>707</v>
      </c>
      <c r="F231" s="141" t="s">
        <v>1664</v>
      </c>
      <c r="G231" s="141" t="s">
        <v>709</v>
      </c>
      <c r="H231" s="141" t="s">
        <v>710</v>
      </c>
      <c r="I231" s="141" t="s">
        <v>1683</v>
      </c>
      <c r="J231" s="141" t="s">
        <v>662</v>
      </c>
      <c r="K231" s="141" t="s">
        <v>1666</v>
      </c>
      <c r="L231" s="141" t="s">
        <v>500</v>
      </c>
      <c r="M231" s="141" t="s">
        <v>1679</v>
      </c>
      <c r="N231" s="141" t="s">
        <v>654</v>
      </c>
      <c r="O231" s="141" t="s">
        <v>655</v>
      </c>
      <c r="P231" s="131"/>
      <c r="Q2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/>
      <c r="AD231"/>
    </row>
    <row r="232" spans="1:30">
      <c r="A232" t="str">
        <f t="shared" si="23"/>
        <v>10-27</v>
      </c>
      <c r="B232" t="str">
        <f t="shared" si="24"/>
        <v>USD</v>
      </c>
      <c r="C232" s="141" t="s">
        <v>656</v>
      </c>
      <c r="D232" s="141">
        <v>1231027</v>
      </c>
      <c r="E232" s="141" t="s">
        <v>707</v>
      </c>
      <c r="F232" s="141" t="s">
        <v>1664</v>
      </c>
      <c r="G232" s="141" t="s">
        <v>709</v>
      </c>
      <c r="H232" s="141" t="s">
        <v>710</v>
      </c>
      <c r="I232" s="141" t="s">
        <v>1684</v>
      </c>
      <c r="J232" s="141" t="s">
        <v>662</v>
      </c>
      <c r="K232" s="141" t="s">
        <v>1666</v>
      </c>
      <c r="L232" s="141" t="s">
        <v>500</v>
      </c>
      <c r="M232" s="141" t="s">
        <v>1679</v>
      </c>
      <c r="N232" s="141" t="s">
        <v>654</v>
      </c>
      <c r="O232" s="141" t="s">
        <v>655</v>
      </c>
      <c r="P232" s="131"/>
      <c r="Q232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/>
      <c r="AD232"/>
    </row>
    <row r="233" spans="1:30">
      <c r="A233" t="str">
        <f t="shared" si="23"/>
        <v>10-27</v>
      </c>
      <c r="B233" t="str">
        <f t="shared" si="24"/>
        <v>USD</v>
      </c>
      <c r="C233" s="141" t="s">
        <v>656</v>
      </c>
      <c r="D233" s="141">
        <v>1231027</v>
      </c>
      <c r="E233" s="141" t="s">
        <v>707</v>
      </c>
      <c r="F233" s="141" t="s">
        <v>1664</v>
      </c>
      <c r="G233" s="141" t="s">
        <v>709</v>
      </c>
      <c r="H233" s="141" t="s">
        <v>710</v>
      </c>
      <c r="I233" s="141" t="s">
        <v>1685</v>
      </c>
      <c r="J233" s="141" t="s">
        <v>662</v>
      </c>
      <c r="K233" s="141" t="s">
        <v>1666</v>
      </c>
      <c r="L233" s="141" t="s">
        <v>500</v>
      </c>
      <c r="M233" s="141" t="s">
        <v>1679</v>
      </c>
      <c r="N233" s="141" t="s">
        <v>654</v>
      </c>
      <c r="O233" s="141" t="s">
        <v>655</v>
      </c>
      <c r="P233" s="131"/>
      <c r="Q233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/>
      <c r="AD233"/>
    </row>
    <row r="234" spans="1:30">
      <c r="A234" t="str">
        <f t="shared" si="23"/>
        <v>10-30</v>
      </c>
      <c r="B234" t="str">
        <f t="shared" si="24"/>
        <v>USD</v>
      </c>
      <c r="C234" s="141" t="s">
        <v>656</v>
      </c>
      <c r="D234" s="141">
        <v>1231030</v>
      </c>
      <c r="E234" s="141" t="s">
        <v>657</v>
      </c>
      <c r="F234" s="141" t="s">
        <v>658</v>
      </c>
      <c r="G234" s="141" t="s">
        <v>659</v>
      </c>
      <c r="H234" s="141" t="s">
        <v>660</v>
      </c>
      <c r="I234" s="141" t="s">
        <v>1715</v>
      </c>
      <c r="J234" s="141" t="s">
        <v>662</v>
      </c>
      <c r="K234" s="141" t="s">
        <v>1716</v>
      </c>
      <c r="L234" s="141" t="s">
        <v>302</v>
      </c>
      <c r="M234" s="141" t="s">
        <v>1717</v>
      </c>
      <c r="N234" s="141" t="s">
        <v>654</v>
      </c>
      <c r="O234" s="141" t="s">
        <v>714</v>
      </c>
      <c r="P234" s="131"/>
      <c r="Q234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/>
      <c r="AD234"/>
    </row>
    <row r="235" spans="1:30">
      <c r="A235" t="str">
        <f t="shared" si="23"/>
        <v>10-30</v>
      </c>
      <c r="B235" t="str">
        <f t="shared" si="24"/>
        <v>USD</v>
      </c>
      <c r="C235" s="138" t="s">
        <v>656</v>
      </c>
      <c r="D235" s="138">
        <v>1231030</v>
      </c>
      <c r="E235" s="138" t="s">
        <v>657</v>
      </c>
      <c r="F235" s="138" t="s">
        <v>658</v>
      </c>
      <c r="G235" s="138" t="s">
        <v>659</v>
      </c>
      <c r="H235" s="138" t="s">
        <v>660</v>
      </c>
      <c r="I235" s="138" t="s">
        <v>1718</v>
      </c>
      <c r="J235" s="138" t="s">
        <v>662</v>
      </c>
      <c r="K235" s="138" t="s">
        <v>1719</v>
      </c>
      <c r="L235" s="138" t="s">
        <v>302</v>
      </c>
      <c r="M235" s="138" t="s">
        <v>1717</v>
      </c>
      <c r="N235" s="138" t="s">
        <v>654</v>
      </c>
      <c r="O235" s="138" t="s">
        <v>714</v>
      </c>
      <c r="P235" s="131"/>
      <c r="Q235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/>
      <c r="AD235"/>
    </row>
    <row r="236" spans="1:30">
      <c r="A236" t="str">
        <f t="shared" si="23"/>
        <v>10-30</v>
      </c>
      <c r="B236" t="str">
        <f t="shared" si="24"/>
        <v>USD</v>
      </c>
      <c r="C236" s="138" t="s">
        <v>656</v>
      </c>
      <c r="D236" s="138">
        <v>1231030</v>
      </c>
      <c r="E236" s="138" t="s">
        <v>657</v>
      </c>
      <c r="F236" s="138" t="s">
        <v>658</v>
      </c>
      <c r="G236" s="138" t="s">
        <v>659</v>
      </c>
      <c r="H236" s="138" t="s">
        <v>660</v>
      </c>
      <c r="I236" s="138" t="s">
        <v>1720</v>
      </c>
      <c r="J236" s="138" t="s">
        <v>662</v>
      </c>
      <c r="K236" s="138" t="s">
        <v>1721</v>
      </c>
      <c r="L236" s="138" t="s">
        <v>302</v>
      </c>
      <c r="M236" s="138" t="s">
        <v>1717</v>
      </c>
      <c r="N236" s="138" t="s">
        <v>654</v>
      </c>
      <c r="O236" s="138" t="s">
        <v>714</v>
      </c>
      <c r="P236" s="131"/>
      <c r="Q236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/>
      <c r="AD236"/>
    </row>
    <row r="237" spans="1:30">
      <c r="A237" t="str">
        <f t="shared" si="23"/>
        <v>10-30</v>
      </c>
      <c r="B237" t="str">
        <f t="shared" si="24"/>
        <v>USD</v>
      </c>
      <c r="C237" s="138" t="s">
        <v>656</v>
      </c>
      <c r="D237" s="138">
        <v>1231030</v>
      </c>
      <c r="E237" s="138" t="s">
        <v>657</v>
      </c>
      <c r="F237" s="138" t="s">
        <v>658</v>
      </c>
      <c r="G237" s="138" t="s">
        <v>659</v>
      </c>
      <c r="H237" s="138" t="s">
        <v>660</v>
      </c>
      <c r="I237" s="138" t="s">
        <v>1722</v>
      </c>
      <c r="J237" s="138" t="s">
        <v>662</v>
      </c>
      <c r="K237" s="138" t="s">
        <v>1723</v>
      </c>
      <c r="L237" s="138" t="s">
        <v>302</v>
      </c>
      <c r="M237" s="138" t="s">
        <v>1717</v>
      </c>
      <c r="N237" s="138" t="s">
        <v>654</v>
      </c>
      <c r="O237" s="138" t="s">
        <v>714</v>
      </c>
      <c r="P237" s="131"/>
      <c r="Q237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/>
      <c r="AD237"/>
    </row>
    <row r="238" spans="1:30">
      <c r="A238" t="str">
        <f t="shared" si="23"/>
        <v>10-30</v>
      </c>
      <c r="B238" t="str">
        <f t="shared" si="24"/>
        <v>USD</v>
      </c>
      <c r="C238" s="138" t="s">
        <v>656</v>
      </c>
      <c r="D238" s="138">
        <v>1231030</v>
      </c>
      <c r="E238" s="138" t="s">
        <v>707</v>
      </c>
      <c r="F238" s="138" t="s">
        <v>1028</v>
      </c>
      <c r="G238" s="138" t="s">
        <v>1029</v>
      </c>
      <c r="H238" s="138" t="s">
        <v>1030</v>
      </c>
      <c r="I238" s="138" t="s">
        <v>1724</v>
      </c>
      <c r="J238" s="138" t="s">
        <v>662</v>
      </c>
      <c r="K238" s="138" t="s">
        <v>1725</v>
      </c>
      <c r="L238" s="138" t="s">
        <v>70</v>
      </c>
      <c r="M238" s="138" t="s">
        <v>713</v>
      </c>
      <c r="N238" s="138" t="s">
        <v>654</v>
      </c>
      <c r="O238" s="138" t="s">
        <v>714</v>
      </c>
      <c r="P238" s="131"/>
      <c r="Q238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  <c r="AC238"/>
      <c r="AD238"/>
    </row>
    <row r="239" spans="1:30">
      <c r="A239" t="str">
        <f t="shared" si="23"/>
        <v>10-30</v>
      </c>
      <c r="B239" t="str">
        <f t="shared" si="24"/>
        <v>USD</v>
      </c>
      <c r="C239" s="138" t="s">
        <v>656</v>
      </c>
      <c r="D239" s="138">
        <v>1231030</v>
      </c>
      <c r="E239" s="138" t="s">
        <v>707</v>
      </c>
      <c r="F239" s="138" t="s">
        <v>1028</v>
      </c>
      <c r="G239" s="138" t="s">
        <v>1029</v>
      </c>
      <c r="H239" s="138" t="s">
        <v>1030</v>
      </c>
      <c r="I239" s="138" t="s">
        <v>1726</v>
      </c>
      <c r="J239" s="138" t="s">
        <v>662</v>
      </c>
      <c r="K239" s="138" t="s">
        <v>1727</v>
      </c>
      <c r="L239" s="138" t="s">
        <v>70</v>
      </c>
      <c r="M239" s="138" t="s">
        <v>713</v>
      </c>
      <c r="N239" s="138" t="s">
        <v>654</v>
      </c>
      <c r="O239" s="138" t="s">
        <v>714</v>
      </c>
      <c r="P239" s="131"/>
      <c r="Q239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  <c r="AC239"/>
      <c r="AD239"/>
    </row>
    <row r="240" spans="1:30">
      <c r="A240" t="str">
        <f t="shared" si="23"/>
        <v>10-30</v>
      </c>
      <c r="B240" t="str">
        <f t="shared" si="24"/>
        <v>USD</v>
      </c>
      <c r="C240" s="138" t="s">
        <v>656</v>
      </c>
      <c r="D240" s="138">
        <v>1231030</v>
      </c>
      <c r="E240" s="138" t="s">
        <v>707</v>
      </c>
      <c r="F240" s="138" t="s">
        <v>1028</v>
      </c>
      <c r="G240" s="138" t="s">
        <v>1029</v>
      </c>
      <c r="H240" s="138" t="s">
        <v>1030</v>
      </c>
      <c r="I240" s="138" t="s">
        <v>1728</v>
      </c>
      <c r="J240" s="138" t="s">
        <v>662</v>
      </c>
      <c r="K240" s="138" t="s">
        <v>1729</v>
      </c>
      <c r="L240" s="138" t="s">
        <v>70</v>
      </c>
      <c r="M240" s="138" t="s">
        <v>713</v>
      </c>
      <c r="N240" s="138" t="s">
        <v>654</v>
      </c>
      <c r="O240" s="138" t="s">
        <v>714</v>
      </c>
      <c r="P240" s="131"/>
      <c r="Q240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/>
      <c r="AD240"/>
    </row>
    <row r="241" spans="1:30">
      <c r="A241" t="str">
        <f t="shared" ref="A241:A248" si="25">MID(D241,(LEN(D241)-3),2)&amp;"-"&amp;MID(D241,(LEN(D241)-1),2)</f>
        <v>10-30</v>
      </c>
      <c r="B241" t="str">
        <f t="shared" ref="B241:B248" si="26">IF(H241="AU","AUD","USD")</f>
        <v>USD</v>
      </c>
      <c r="C241" s="138" t="s">
        <v>656</v>
      </c>
      <c r="D241" s="138">
        <v>1231030</v>
      </c>
      <c r="E241" s="138" t="s">
        <v>707</v>
      </c>
      <c r="F241" s="138" t="s">
        <v>1028</v>
      </c>
      <c r="G241" s="138" t="s">
        <v>1029</v>
      </c>
      <c r="H241" s="138" t="s">
        <v>1030</v>
      </c>
      <c r="I241" s="138" t="s">
        <v>1730</v>
      </c>
      <c r="J241" s="138" t="s">
        <v>662</v>
      </c>
      <c r="K241" s="138" t="s">
        <v>1731</v>
      </c>
      <c r="L241" s="138" t="s">
        <v>70</v>
      </c>
      <c r="M241" s="138" t="s">
        <v>713</v>
      </c>
      <c r="N241" s="138" t="s">
        <v>654</v>
      </c>
      <c r="O241" s="138" t="s">
        <v>714</v>
      </c>
      <c r="P241" s="131"/>
      <c r="Q24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/>
      <c r="AD241"/>
    </row>
    <row r="242" spans="1:30">
      <c r="A242" t="str">
        <f t="shared" si="25"/>
        <v>10-30</v>
      </c>
      <c r="B242" t="str">
        <f t="shared" si="26"/>
        <v>USD</v>
      </c>
      <c r="C242" s="138" t="s">
        <v>656</v>
      </c>
      <c r="D242" s="138">
        <v>1231030</v>
      </c>
      <c r="E242" s="138" t="s">
        <v>707</v>
      </c>
      <c r="F242" s="138" t="s">
        <v>1028</v>
      </c>
      <c r="G242" s="138" t="s">
        <v>1029</v>
      </c>
      <c r="H242" s="138" t="s">
        <v>1030</v>
      </c>
      <c r="I242" s="138" t="s">
        <v>1732</v>
      </c>
      <c r="J242" s="138" t="s">
        <v>662</v>
      </c>
      <c r="K242" s="138" t="s">
        <v>1733</v>
      </c>
      <c r="L242" s="138" t="s">
        <v>70</v>
      </c>
      <c r="M242" s="138" t="s">
        <v>713</v>
      </c>
      <c r="N242" s="138" t="s">
        <v>654</v>
      </c>
      <c r="O242" s="138" t="s">
        <v>714</v>
      </c>
      <c r="P242" s="131"/>
      <c r="Q242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/>
      <c r="AD242"/>
    </row>
    <row r="243" spans="1:30">
      <c r="A243" t="str">
        <f t="shared" si="25"/>
        <v>10-30</v>
      </c>
      <c r="B243" t="str">
        <f t="shared" si="26"/>
        <v>USD</v>
      </c>
      <c r="C243" s="138" t="s">
        <v>656</v>
      </c>
      <c r="D243" s="138">
        <v>1231030</v>
      </c>
      <c r="E243" s="138" t="s">
        <v>707</v>
      </c>
      <c r="F243" s="138" t="s">
        <v>1028</v>
      </c>
      <c r="G243" s="138" t="s">
        <v>1029</v>
      </c>
      <c r="H243" s="138" t="s">
        <v>1030</v>
      </c>
      <c r="I243" s="138" t="s">
        <v>1734</v>
      </c>
      <c r="J243" s="138" t="s">
        <v>662</v>
      </c>
      <c r="K243" s="138" t="s">
        <v>1735</v>
      </c>
      <c r="L243" s="138" t="s">
        <v>70</v>
      </c>
      <c r="M243" s="138" t="s">
        <v>713</v>
      </c>
      <c r="N243" s="138" t="s">
        <v>654</v>
      </c>
      <c r="O243" s="138" t="s">
        <v>714</v>
      </c>
      <c r="P243" s="131"/>
      <c r="Q243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/>
      <c r="AD243"/>
    </row>
    <row r="244" spans="1:30">
      <c r="A244" t="str">
        <f t="shared" si="25"/>
        <v>10-30</v>
      </c>
      <c r="B244" t="str">
        <f t="shared" si="26"/>
        <v>USD</v>
      </c>
      <c r="C244" s="138" t="s">
        <v>656</v>
      </c>
      <c r="D244" s="138">
        <v>1231030</v>
      </c>
      <c r="E244" s="138" t="s">
        <v>707</v>
      </c>
      <c r="F244" s="138" t="s">
        <v>1028</v>
      </c>
      <c r="G244" s="138" t="s">
        <v>1029</v>
      </c>
      <c r="H244" s="138" t="s">
        <v>1030</v>
      </c>
      <c r="I244" s="138" t="s">
        <v>1736</v>
      </c>
      <c r="J244" s="138" t="s">
        <v>662</v>
      </c>
      <c r="K244" s="138" t="s">
        <v>1737</v>
      </c>
      <c r="L244" s="138" t="s">
        <v>70</v>
      </c>
      <c r="M244" s="138" t="s">
        <v>713</v>
      </c>
      <c r="N244" s="138" t="s">
        <v>654</v>
      </c>
      <c r="O244" s="138" t="s">
        <v>714</v>
      </c>
      <c r="P244" s="131"/>
      <c r="Q244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/>
      <c r="AD244"/>
    </row>
    <row r="245" spans="1:30">
      <c r="A245" t="str">
        <f t="shared" si="25"/>
        <v>10-30</v>
      </c>
      <c r="B245" t="str">
        <f t="shared" si="26"/>
        <v>USD</v>
      </c>
      <c r="C245" s="141" t="s">
        <v>656</v>
      </c>
      <c r="D245" s="141">
        <v>1231030</v>
      </c>
      <c r="E245" s="141" t="s">
        <v>707</v>
      </c>
      <c r="F245" s="141" t="s">
        <v>1028</v>
      </c>
      <c r="G245" s="141" t="s">
        <v>1029</v>
      </c>
      <c r="H245" s="141" t="s">
        <v>1030</v>
      </c>
      <c r="I245" s="141" t="s">
        <v>1738</v>
      </c>
      <c r="J245" s="141" t="s">
        <v>662</v>
      </c>
      <c r="K245" s="141" t="s">
        <v>1739</v>
      </c>
      <c r="L245" s="141" t="s">
        <v>70</v>
      </c>
      <c r="M245" s="141" t="s">
        <v>713</v>
      </c>
      <c r="N245" s="141" t="s">
        <v>654</v>
      </c>
      <c r="O245" s="141" t="s">
        <v>714</v>
      </c>
      <c r="P245" s="131"/>
      <c r="Q245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/>
      <c r="AD245"/>
    </row>
    <row r="246" spans="1:30">
      <c r="A246" t="str">
        <f t="shared" si="25"/>
        <v>10-30</v>
      </c>
      <c r="B246" t="str">
        <f t="shared" si="26"/>
        <v>USD</v>
      </c>
      <c r="C246" s="141" t="s">
        <v>656</v>
      </c>
      <c r="D246" s="141">
        <v>1231030</v>
      </c>
      <c r="E246" s="141" t="s">
        <v>707</v>
      </c>
      <c r="F246" s="141" t="s">
        <v>1028</v>
      </c>
      <c r="G246" s="141" t="s">
        <v>1029</v>
      </c>
      <c r="H246" s="141" t="s">
        <v>1030</v>
      </c>
      <c r="I246" s="141" t="s">
        <v>1740</v>
      </c>
      <c r="J246" s="141" t="s">
        <v>662</v>
      </c>
      <c r="K246" s="141" t="s">
        <v>1741</v>
      </c>
      <c r="L246" s="141" t="s">
        <v>70</v>
      </c>
      <c r="M246" s="141" t="s">
        <v>713</v>
      </c>
      <c r="N246" s="141" t="s">
        <v>654</v>
      </c>
      <c r="O246" s="141" t="s">
        <v>714</v>
      </c>
      <c r="P246" s="131"/>
      <c r="Q246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/>
      <c r="AD246"/>
    </row>
    <row r="247" spans="1:30">
      <c r="A247" t="str">
        <f t="shared" si="25"/>
        <v>10-30</v>
      </c>
      <c r="B247" t="str">
        <f t="shared" si="26"/>
        <v>USD</v>
      </c>
      <c r="C247" s="141" t="s">
        <v>656</v>
      </c>
      <c r="D247" s="141">
        <v>1231030</v>
      </c>
      <c r="E247" s="141" t="s">
        <v>707</v>
      </c>
      <c r="F247" s="141" t="s">
        <v>1028</v>
      </c>
      <c r="G247" s="141" t="s">
        <v>1029</v>
      </c>
      <c r="H247" s="141" t="s">
        <v>1030</v>
      </c>
      <c r="I247" s="141" t="s">
        <v>1742</v>
      </c>
      <c r="J247" s="141" t="s">
        <v>662</v>
      </c>
      <c r="K247" s="141" t="s">
        <v>1743</v>
      </c>
      <c r="L247" s="141" t="s">
        <v>70</v>
      </c>
      <c r="M247" s="141" t="s">
        <v>713</v>
      </c>
      <c r="N247" s="141" t="s">
        <v>654</v>
      </c>
      <c r="O247" s="141" t="s">
        <v>714</v>
      </c>
      <c r="P247" s="131"/>
      <c r="Q247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/>
      <c r="AD247"/>
    </row>
    <row r="248" spans="1:30">
      <c r="A248" t="str">
        <f t="shared" si="25"/>
        <v>10-30</v>
      </c>
      <c r="B248" t="str">
        <f t="shared" si="26"/>
        <v>USD</v>
      </c>
      <c r="C248" s="141" t="s">
        <v>656</v>
      </c>
      <c r="D248" s="141">
        <v>1231030</v>
      </c>
      <c r="E248" s="141" t="s">
        <v>707</v>
      </c>
      <c r="F248" s="141" t="s">
        <v>1028</v>
      </c>
      <c r="G248" s="141" t="s">
        <v>1029</v>
      </c>
      <c r="H248" s="141" t="s">
        <v>1030</v>
      </c>
      <c r="I248" s="141" t="s">
        <v>1744</v>
      </c>
      <c r="J248" s="141" t="s">
        <v>662</v>
      </c>
      <c r="K248" s="141" t="s">
        <v>1745</v>
      </c>
      <c r="L248" s="141" t="s">
        <v>70</v>
      </c>
      <c r="M248" s="141" t="s">
        <v>713</v>
      </c>
      <c r="N248" s="141" t="s">
        <v>654</v>
      </c>
      <c r="O248" s="141" t="s">
        <v>714</v>
      </c>
      <c r="P248" s="131"/>
      <c r="Q248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/>
      <c r="AD248"/>
    </row>
    <row r="249" spans="1:30">
      <c r="A249" t="str">
        <f>MID(D249,(LEN(D249)-3),2)&amp;"-"&amp;MID(D249,(LEN(D249)-1),2)</f>
        <v>10-30</v>
      </c>
      <c r="B249" t="str">
        <f>IF(H249="AU","AUD","USD")</f>
        <v>USD</v>
      </c>
      <c r="C249" s="141" t="s">
        <v>656</v>
      </c>
      <c r="D249" s="141">
        <v>1231030</v>
      </c>
      <c r="E249" s="141" t="s">
        <v>707</v>
      </c>
      <c r="F249" s="141" t="s">
        <v>1028</v>
      </c>
      <c r="G249" s="141" t="s">
        <v>1029</v>
      </c>
      <c r="H249" s="141" t="s">
        <v>1030</v>
      </c>
      <c r="I249" s="141" t="s">
        <v>1746</v>
      </c>
      <c r="J249" s="141" t="s">
        <v>662</v>
      </c>
      <c r="K249" s="141" t="s">
        <v>1747</v>
      </c>
      <c r="L249" s="141" t="s">
        <v>70</v>
      </c>
      <c r="M249" s="141" t="s">
        <v>713</v>
      </c>
      <c r="N249" s="141" t="s">
        <v>654</v>
      </c>
      <c r="O249" s="141" t="s">
        <v>714</v>
      </c>
      <c r="P249" s="131"/>
      <c r="Q249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/>
      <c r="AD249"/>
    </row>
    <row r="250" spans="1:30">
      <c r="A250" t="str">
        <f>MID(D250,(LEN(D250)-3),2)&amp;"-"&amp;MID(D250,(LEN(D250)-1),2)</f>
        <v>10-30</v>
      </c>
      <c r="B250" t="str">
        <f>IF(H250="AU","AUD","USD")</f>
        <v>USD</v>
      </c>
      <c r="C250" s="141" t="s">
        <v>656</v>
      </c>
      <c r="D250" s="141">
        <v>1231030</v>
      </c>
      <c r="E250" s="141" t="s">
        <v>707</v>
      </c>
      <c r="F250" s="141" t="s">
        <v>1028</v>
      </c>
      <c r="G250" s="141" t="s">
        <v>1029</v>
      </c>
      <c r="H250" s="141" t="s">
        <v>1030</v>
      </c>
      <c r="I250" s="141" t="s">
        <v>1748</v>
      </c>
      <c r="J250" s="141" t="s">
        <v>662</v>
      </c>
      <c r="K250" s="141" t="s">
        <v>1749</v>
      </c>
      <c r="L250" s="141" t="s">
        <v>70</v>
      </c>
      <c r="M250" s="141" t="s">
        <v>713</v>
      </c>
      <c r="N250" s="141" t="s">
        <v>654</v>
      </c>
      <c r="O250" s="141" t="s">
        <v>714</v>
      </c>
      <c r="P250" s="131"/>
      <c r="Q250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/>
      <c r="AD250"/>
    </row>
    <row r="251" spans="1:30">
      <c r="A251" t="str">
        <f>MID(D251,(LEN(D251)-3),2)&amp;"-"&amp;MID(D251,(LEN(D251)-1),2)</f>
        <v>10-30</v>
      </c>
      <c r="B251" t="str">
        <f>IF(H251="AU","AUD","USD")</f>
        <v>USD</v>
      </c>
      <c r="C251" s="141" t="s">
        <v>656</v>
      </c>
      <c r="D251" s="141">
        <v>1231030</v>
      </c>
      <c r="E251" s="141" t="s">
        <v>707</v>
      </c>
      <c r="F251" s="141" t="s">
        <v>1028</v>
      </c>
      <c r="G251" s="141" t="s">
        <v>1029</v>
      </c>
      <c r="H251" s="141" t="s">
        <v>1030</v>
      </c>
      <c r="I251" s="141" t="s">
        <v>1750</v>
      </c>
      <c r="J251" s="141" t="s">
        <v>662</v>
      </c>
      <c r="K251" s="141" t="s">
        <v>1751</v>
      </c>
      <c r="L251" s="141" t="s">
        <v>70</v>
      </c>
      <c r="M251" s="141" t="s">
        <v>713</v>
      </c>
      <c r="N251" s="141" t="s">
        <v>654</v>
      </c>
      <c r="O251" s="141" t="s">
        <v>714</v>
      </c>
      <c r="P251" s="131"/>
      <c r="Q25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/>
      <c r="AD251"/>
    </row>
    <row r="252" spans="1:30">
      <c r="A252" t="str">
        <f t="shared" ref="A252:A290" si="27">MID(D252,(LEN(D252)-3),2)&amp;"-"&amp;MID(D252,(LEN(D252)-1),2)</f>
        <v>10-30</v>
      </c>
      <c r="B252" t="str">
        <f t="shared" ref="B252:B290" si="28">IF(H252="AU","AUD","USD")</f>
        <v>USD</v>
      </c>
      <c r="C252" s="141" t="s">
        <v>656</v>
      </c>
      <c r="D252" s="141">
        <v>1231030</v>
      </c>
      <c r="E252" s="141" t="s">
        <v>707</v>
      </c>
      <c r="F252" s="141" t="s">
        <v>1028</v>
      </c>
      <c r="G252" s="141" t="s">
        <v>1029</v>
      </c>
      <c r="H252" s="141" t="s">
        <v>1030</v>
      </c>
      <c r="I252" s="141" t="s">
        <v>1752</v>
      </c>
      <c r="J252" s="141" t="s">
        <v>662</v>
      </c>
      <c r="K252" s="141" t="s">
        <v>1753</v>
      </c>
      <c r="L252" s="141" t="s">
        <v>70</v>
      </c>
      <c r="M252" s="141" t="s">
        <v>713</v>
      </c>
      <c r="N252" s="141" t="s">
        <v>654</v>
      </c>
      <c r="O252" s="141" t="s">
        <v>714</v>
      </c>
      <c r="P252" s="131"/>
      <c r="Q252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/>
      <c r="AD252"/>
    </row>
    <row r="253" spans="1:30">
      <c r="A253" t="str">
        <f t="shared" si="27"/>
        <v>10-30</v>
      </c>
      <c r="B253" t="str">
        <f t="shared" si="28"/>
        <v>USD</v>
      </c>
      <c r="C253" s="141" t="s">
        <v>656</v>
      </c>
      <c r="D253" s="141">
        <v>1231030</v>
      </c>
      <c r="E253" s="141" t="s">
        <v>707</v>
      </c>
      <c r="F253" s="141" t="s">
        <v>1028</v>
      </c>
      <c r="G253" s="141" t="s">
        <v>1029</v>
      </c>
      <c r="H253" s="141" t="s">
        <v>1030</v>
      </c>
      <c r="I253" s="141" t="s">
        <v>1754</v>
      </c>
      <c r="J253" s="141" t="s">
        <v>662</v>
      </c>
      <c r="K253" s="141" t="s">
        <v>1755</v>
      </c>
      <c r="L253" s="141" t="s">
        <v>70</v>
      </c>
      <c r="M253" s="141" t="s">
        <v>713</v>
      </c>
      <c r="N253" s="141" t="s">
        <v>654</v>
      </c>
      <c r="O253" s="141" t="s">
        <v>714</v>
      </c>
      <c r="P253" s="131"/>
      <c r="Q253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/>
      <c r="AD253"/>
    </row>
    <row r="254" spans="1:30">
      <c r="A254" t="str">
        <f t="shared" ref="A254:A259" si="29">MID(D254,(LEN(D254)-3),2)&amp;"-"&amp;MID(D254,(LEN(D254)-1),2)</f>
        <v>10-30</v>
      </c>
      <c r="B254" t="str">
        <f t="shared" ref="B254:B259" si="30">IF(H254="AU","AUD","USD")</f>
        <v>USD</v>
      </c>
      <c r="C254" s="141" t="s">
        <v>656</v>
      </c>
      <c r="D254" s="141">
        <v>1231030</v>
      </c>
      <c r="E254" s="141" t="s">
        <v>707</v>
      </c>
      <c r="F254" s="141" t="s">
        <v>1028</v>
      </c>
      <c r="G254" s="141" t="s">
        <v>1029</v>
      </c>
      <c r="H254" s="141" t="s">
        <v>1030</v>
      </c>
      <c r="I254" s="141" t="s">
        <v>1756</v>
      </c>
      <c r="J254" s="141" t="s">
        <v>662</v>
      </c>
      <c r="K254" s="141" t="s">
        <v>1757</v>
      </c>
      <c r="L254" s="141" t="s">
        <v>70</v>
      </c>
      <c r="M254" s="141" t="s">
        <v>713</v>
      </c>
      <c r="N254" s="141" t="s">
        <v>654</v>
      </c>
      <c r="O254" s="141" t="s">
        <v>714</v>
      </c>
      <c r="P254" s="131"/>
      <c r="Q254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/>
      <c r="AD254"/>
    </row>
    <row r="255" spans="1:30">
      <c r="A255" t="str">
        <f t="shared" si="29"/>
        <v>10-30</v>
      </c>
      <c r="B255" t="str">
        <f t="shared" si="30"/>
        <v>USD</v>
      </c>
      <c r="C255" s="141" t="s">
        <v>656</v>
      </c>
      <c r="D255" s="141">
        <v>1231030</v>
      </c>
      <c r="E255" s="141" t="s">
        <v>707</v>
      </c>
      <c r="F255" s="141" t="s">
        <v>1028</v>
      </c>
      <c r="G255" s="141" t="s">
        <v>1029</v>
      </c>
      <c r="H255" s="141" t="s">
        <v>1030</v>
      </c>
      <c r="I255" s="141" t="s">
        <v>1758</v>
      </c>
      <c r="J255" s="141" t="s">
        <v>662</v>
      </c>
      <c r="K255" s="141" t="s">
        <v>1759</v>
      </c>
      <c r="L255" s="141" t="s">
        <v>70</v>
      </c>
      <c r="M255" s="141" t="s">
        <v>713</v>
      </c>
      <c r="N255" s="141" t="s">
        <v>654</v>
      </c>
      <c r="O255" s="141" t="s">
        <v>714</v>
      </c>
      <c r="P255" s="131"/>
      <c r="Q255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/>
      <c r="AD255"/>
    </row>
    <row r="256" spans="1:30">
      <c r="A256" t="str">
        <f t="shared" si="29"/>
        <v>10-30</v>
      </c>
      <c r="B256" t="str">
        <f t="shared" si="30"/>
        <v>USD</v>
      </c>
      <c r="C256" s="141" t="s">
        <v>656</v>
      </c>
      <c r="D256" s="141">
        <v>1231030</v>
      </c>
      <c r="E256" s="141" t="s">
        <v>707</v>
      </c>
      <c r="F256" s="141" t="s">
        <v>1028</v>
      </c>
      <c r="G256" s="141" t="s">
        <v>1029</v>
      </c>
      <c r="H256" s="141" t="s">
        <v>1030</v>
      </c>
      <c r="I256" s="141" t="s">
        <v>1760</v>
      </c>
      <c r="J256" s="141" t="s">
        <v>662</v>
      </c>
      <c r="K256" s="141" t="s">
        <v>1761</v>
      </c>
      <c r="L256" s="141" t="s">
        <v>70</v>
      </c>
      <c r="M256" s="141" t="s">
        <v>713</v>
      </c>
      <c r="N256" s="141" t="s">
        <v>654</v>
      </c>
      <c r="O256" s="141" t="s">
        <v>714</v>
      </c>
      <c r="P256" s="131"/>
      <c r="Q256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/>
      <c r="AD256"/>
    </row>
    <row r="257" spans="1:30">
      <c r="A257" t="str">
        <f t="shared" si="29"/>
        <v>10-30</v>
      </c>
      <c r="B257" t="str">
        <f t="shared" si="30"/>
        <v>USD</v>
      </c>
      <c r="C257" s="141" t="s">
        <v>656</v>
      </c>
      <c r="D257" s="141">
        <v>1231030</v>
      </c>
      <c r="E257" s="141" t="s">
        <v>707</v>
      </c>
      <c r="F257" s="141" t="s">
        <v>1028</v>
      </c>
      <c r="G257" s="141" t="s">
        <v>1029</v>
      </c>
      <c r="H257" s="141" t="s">
        <v>1030</v>
      </c>
      <c r="I257" s="141" t="s">
        <v>1762</v>
      </c>
      <c r="J257" s="141" t="s">
        <v>662</v>
      </c>
      <c r="K257" s="141" t="s">
        <v>1763</v>
      </c>
      <c r="L257" s="141" t="s">
        <v>70</v>
      </c>
      <c r="M257" s="141" t="s">
        <v>713</v>
      </c>
      <c r="N257" s="141" t="s">
        <v>654</v>
      </c>
      <c r="O257" s="141" t="s">
        <v>714</v>
      </c>
      <c r="P257" s="131"/>
      <c r="Q257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/>
      <c r="AD257"/>
    </row>
    <row r="258" spans="1:30">
      <c r="A258" t="str">
        <f t="shared" si="29"/>
        <v>10-30</v>
      </c>
      <c r="B258" t="str">
        <f t="shared" si="30"/>
        <v>USD</v>
      </c>
      <c r="C258" s="141" t="s">
        <v>656</v>
      </c>
      <c r="D258" s="141">
        <v>1231030</v>
      </c>
      <c r="E258" s="141" t="s">
        <v>707</v>
      </c>
      <c r="F258" s="141" t="s">
        <v>1028</v>
      </c>
      <c r="G258" s="141" t="s">
        <v>1029</v>
      </c>
      <c r="H258" s="141" t="s">
        <v>1030</v>
      </c>
      <c r="I258" s="141" t="s">
        <v>1892</v>
      </c>
      <c r="J258" s="141" t="s">
        <v>662</v>
      </c>
      <c r="K258" s="141" t="s">
        <v>1893</v>
      </c>
      <c r="L258" s="141" t="s">
        <v>76</v>
      </c>
      <c r="M258" s="141" t="s">
        <v>804</v>
      </c>
      <c r="N258" s="141" t="s">
        <v>654</v>
      </c>
      <c r="O258" s="141" t="s">
        <v>655</v>
      </c>
      <c r="P258" s="131"/>
      <c r="Q258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/>
      <c r="AD258"/>
    </row>
    <row r="259" spans="1:30">
      <c r="A259" t="str">
        <f t="shared" si="29"/>
        <v>10-30</v>
      </c>
      <c r="B259" t="str">
        <f t="shared" si="30"/>
        <v>USD</v>
      </c>
      <c r="C259" s="141" t="s">
        <v>656</v>
      </c>
      <c r="D259" s="141">
        <v>1231030</v>
      </c>
      <c r="E259" s="141" t="s">
        <v>707</v>
      </c>
      <c r="F259" s="141" t="s">
        <v>1028</v>
      </c>
      <c r="G259" s="141" t="s">
        <v>1029</v>
      </c>
      <c r="H259" s="141" t="s">
        <v>1030</v>
      </c>
      <c r="I259" s="141" t="s">
        <v>1894</v>
      </c>
      <c r="J259" s="141" t="s">
        <v>662</v>
      </c>
      <c r="K259" s="141" t="s">
        <v>1895</v>
      </c>
      <c r="L259" s="141" t="s">
        <v>76</v>
      </c>
      <c r="M259" s="141" t="s">
        <v>804</v>
      </c>
      <c r="N259" s="141" t="s">
        <v>654</v>
      </c>
      <c r="O259" s="141" t="s">
        <v>655</v>
      </c>
      <c r="P259" s="131"/>
      <c r="Q259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/>
      <c r="AD259"/>
    </row>
    <row r="260" spans="1:30">
      <c r="A260" t="str">
        <f t="shared" si="27"/>
        <v>10-30</v>
      </c>
      <c r="B260" t="str">
        <f t="shared" si="28"/>
        <v>USD</v>
      </c>
      <c r="C260" s="141" t="s">
        <v>656</v>
      </c>
      <c r="D260" s="141">
        <v>1231030</v>
      </c>
      <c r="E260" s="141" t="s">
        <v>657</v>
      </c>
      <c r="F260" s="141" t="s">
        <v>777</v>
      </c>
      <c r="G260" s="141" t="s">
        <v>778</v>
      </c>
      <c r="H260" s="141" t="s">
        <v>779</v>
      </c>
      <c r="I260" s="141" t="s">
        <v>1764</v>
      </c>
      <c r="J260" s="141" t="s">
        <v>662</v>
      </c>
      <c r="K260" s="141" t="s">
        <v>1765</v>
      </c>
      <c r="L260" s="141" t="s">
        <v>64</v>
      </c>
      <c r="M260" s="141" t="s">
        <v>885</v>
      </c>
      <c r="N260" s="141" t="s">
        <v>654</v>
      </c>
      <c r="O260" s="141" t="s">
        <v>799</v>
      </c>
      <c r="P260" s="131"/>
      <c r="Q260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/>
      <c r="AD260"/>
    </row>
    <row r="261" spans="1:30">
      <c r="A261" t="str">
        <f>MID(D261,(LEN(D261)-3),2)&amp;"-"&amp;MID(D261,(LEN(D261)-1),2)</f>
        <v>10-30</v>
      </c>
      <c r="B261" t="str">
        <f>IF(H261="AU","AUD","USD")</f>
        <v>USD</v>
      </c>
      <c r="C261" s="141" t="s">
        <v>656</v>
      </c>
      <c r="D261" s="141">
        <v>1231030</v>
      </c>
      <c r="E261" s="141" t="s">
        <v>657</v>
      </c>
      <c r="F261" s="141" t="s">
        <v>777</v>
      </c>
      <c r="G261" s="141" t="s">
        <v>778</v>
      </c>
      <c r="H261" s="141" t="s">
        <v>779</v>
      </c>
      <c r="I261" s="141" t="s">
        <v>1766</v>
      </c>
      <c r="J261" s="141" t="s">
        <v>662</v>
      </c>
      <c r="K261" s="141" t="s">
        <v>1765</v>
      </c>
      <c r="L261" s="141" t="s">
        <v>64</v>
      </c>
      <c r="M261" s="141" t="s">
        <v>885</v>
      </c>
      <c r="N261" s="141" t="s">
        <v>654</v>
      </c>
      <c r="O261" s="141" t="s">
        <v>799</v>
      </c>
      <c r="P261" s="131"/>
      <c r="Q26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/>
      <c r="AD261"/>
    </row>
    <row r="262" spans="1:30">
      <c r="A262" t="str">
        <f>MID(D262,(LEN(D262)-3),2)&amp;"-"&amp;MID(D262,(LEN(D262)-1),2)</f>
        <v>10-30</v>
      </c>
      <c r="B262" t="str">
        <f>IF(H262="AU","AUD","USD")</f>
        <v>USD</v>
      </c>
      <c r="C262" s="141" t="s">
        <v>656</v>
      </c>
      <c r="D262" s="141">
        <v>1231030</v>
      </c>
      <c r="E262" s="141" t="s">
        <v>657</v>
      </c>
      <c r="F262" s="141" t="s">
        <v>777</v>
      </c>
      <c r="G262" s="141" t="s">
        <v>778</v>
      </c>
      <c r="H262" s="141" t="s">
        <v>779</v>
      </c>
      <c r="I262" s="141" t="s">
        <v>1767</v>
      </c>
      <c r="J262" s="141" t="s">
        <v>662</v>
      </c>
      <c r="K262" s="141" t="s">
        <v>1768</v>
      </c>
      <c r="L262" s="141" t="s">
        <v>64</v>
      </c>
      <c r="M262" s="141" t="s">
        <v>885</v>
      </c>
      <c r="N262" s="141" t="s">
        <v>654</v>
      </c>
      <c r="O262" s="141" t="s">
        <v>799</v>
      </c>
      <c r="P262" s="131"/>
      <c r="Q262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/>
      <c r="AD262"/>
    </row>
    <row r="263" spans="1:30">
      <c r="A263" t="str">
        <f>MID(D263,(LEN(D263)-3),2)&amp;"-"&amp;MID(D263,(LEN(D263)-1),2)</f>
        <v>10-30</v>
      </c>
      <c r="B263" t="str">
        <f>IF(H263="AU","AUD","USD")</f>
        <v>USD</v>
      </c>
      <c r="C263" s="141" t="s">
        <v>656</v>
      </c>
      <c r="D263" s="141">
        <v>1231030</v>
      </c>
      <c r="E263" s="141" t="s">
        <v>657</v>
      </c>
      <c r="F263" s="141" t="s">
        <v>777</v>
      </c>
      <c r="G263" s="141" t="s">
        <v>778</v>
      </c>
      <c r="H263" s="141" t="s">
        <v>779</v>
      </c>
      <c r="I263" s="141" t="s">
        <v>1769</v>
      </c>
      <c r="J263" s="141" t="s">
        <v>662</v>
      </c>
      <c r="K263" s="141" t="s">
        <v>1768</v>
      </c>
      <c r="L263" s="141" t="s">
        <v>64</v>
      </c>
      <c r="M263" s="141" t="s">
        <v>885</v>
      </c>
      <c r="N263" s="141" t="s">
        <v>654</v>
      </c>
      <c r="O263" s="141" t="s">
        <v>799</v>
      </c>
      <c r="P263" s="131"/>
      <c r="Q263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/>
      <c r="AD263"/>
    </row>
    <row r="264" spans="1:30">
      <c r="A264" t="str">
        <f>MID(D264,(LEN(D264)-3),2)&amp;"-"&amp;MID(D264,(LEN(D264)-1),2)</f>
        <v>10-30</v>
      </c>
      <c r="B264" t="str">
        <f>IF(H264="AU","AUD","USD")</f>
        <v>USD</v>
      </c>
      <c r="C264" s="141" t="s">
        <v>656</v>
      </c>
      <c r="D264" s="141">
        <v>1231030</v>
      </c>
      <c r="E264" s="141" t="s">
        <v>657</v>
      </c>
      <c r="F264" s="141" t="s">
        <v>982</v>
      </c>
      <c r="G264" s="141" t="s">
        <v>983</v>
      </c>
      <c r="H264" s="141" t="s">
        <v>984</v>
      </c>
      <c r="I264" s="141" t="s">
        <v>1770</v>
      </c>
      <c r="J264" s="141" t="s">
        <v>662</v>
      </c>
      <c r="K264" s="141" t="s">
        <v>1771</v>
      </c>
      <c r="L264" s="141" t="s">
        <v>95</v>
      </c>
      <c r="M264" s="141" t="s">
        <v>664</v>
      </c>
      <c r="N264" s="141" t="s">
        <v>654</v>
      </c>
      <c r="O264" s="141" t="s">
        <v>665</v>
      </c>
      <c r="P264" s="131"/>
      <c r="Q264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/>
      <c r="AD264"/>
    </row>
    <row r="265" spans="1:30">
      <c r="A265" t="str">
        <f t="shared" si="27"/>
        <v>10-30</v>
      </c>
      <c r="B265" t="str">
        <f t="shared" si="28"/>
        <v>USD</v>
      </c>
      <c r="C265" s="141" t="s">
        <v>656</v>
      </c>
      <c r="D265" s="141">
        <v>1231030</v>
      </c>
      <c r="E265" s="141" t="s">
        <v>657</v>
      </c>
      <c r="F265" s="141" t="s">
        <v>982</v>
      </c>
      <c r="G265" s="141" t="s">
        <v>983</v>
      </c>
      <c r="H265" s="141" t="s">
        <v>984</v>
      </c>
      <c r="I265" s="141" t="s">
        <v>1772</v>
      </c>
      <c r="J265" s="141" t="s">
        <v>662</v>
      </c>
      <c r="K265" s="141" t="s">
        <v>1773</v>
      </c>
      <c r="L265" s="141" t="s">
        <v>95</v>
      </c>
      <c r="M265" s="141" t="s">
        <v>664</v>
      </c>
      <c r="N265" s="141" t="s">
        <v>654</v>
      </c>
      <c r="O265" s="141" t="s">
        <v>665</v>
      </c>
      <c r="P265" s="131"/>
      <c r="Q265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/>
      <c r="AD265"/>
    </row>
    <row r="266" spans="1:30">
      <c r="A266" t="str">
        <f t="shared" si="27"/>
        <v>10-31</v>
      </c>
      <c r="B266" t="str">
        <f t="shared" si="28"/>
        <v>USD</v>
      </c>
      <c r="C266" s="138" t="s">
        <v>656</v>
      </c>
      <c r="D266" s="138">
        <v>1231031</v>
      </c>
      <c r="E266" s="138" t="s">
        <v>657</v>
      </c>
      <c r="F266" s="138" t="s">
        <v>882</v>
      </c>
      <c r="G266" s="138" t="s">
        <v>659</v>
      </c>
      <c r="H266" s="138" t="s">
        <v>660</v>
      </c>
      <c r="I266" s="138" t="s">
        <v>1896</v>
      </c>
      <c r="J266" s="138" t="s">
        <v>662</v>
      </c>
      <c r="K266" s="138" t="s">
        <v>1897</v>
      </c>
      <c r="L266" s="138" t="s">
        <v>51</v>
      </c>
      <c r="M266" s="138" t="s">
        <v>967</v>
      </c>
      <c r="N266" s="138" t="s">
        <v>654</v>
      </c>
      <c r="O266" s="138" t="s">
        <v>799</v>
      </c>
      <c r="P266" s="131"/>
      <c r="Q266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/>
      <c r="AD266"/>
    </row>
    <row r="267" spans="1:30">
      <c r="A267" t="str">
        <f t="shared" si="27"/>
        <v>10-31</v>
      </c>
      <c r="B267" t="str">
        <f t="shared" si="28"/>
        <v>USD</v>
      </c>
      <c r="C267" s="138" t="s">
        <v>656</v>
      </c>
      <c r="D267" s="138">
        <v>1231031</v>
      </c>
      <c r="E267" s="138" t="s">
        <v>657</v>
      </c>
      <c r="F267" s="138" t="s">
        <v>882</v>
      </c>
      <c r="G267" s="138" t="s">
        <v>659</v>
      </c>
      <c r="H267" s="138" t="s">
        <v>660</v>
      </c>
      <c r="I267" s="138" t="s">
        <v>1898</v>
      </c>
      <c r="J267" s="138" t="s">
        <v>662</v>
      </c>
      <c r="K267" s="138" t="s">
        <v>1899</v>
      </c>
      <c r="L267" s="138" t="s">
        <v>64</v>
      </c>
      <c r="M267" s="138" t="s">
        <v>885</v>
      </c>
      <c r="N267" s="138" t="s">
        <v>654</v>
      </c>
      <c r="O267" s="138" t="s">
        <v>799</v>
      </c>
      <c r="P267" s="131"/>
      <c r="Q267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/>
      <c r="AD267"/>
    </row>
    <row r="268" spans="1:30">
      <c r="A268" t="str">
        <f t="shared" si="27"/>
        <v>10-31</v>
      </c>
      <c r="B268" t="str">
        <f t="shared" si="28"/>
        <v>USD</v>
      </c>
      <c r="C268" s="138" t="s">
        <v>656</v>
      </c>
      <c r="D268" s="138">
        <v>1231031</v>
      </c>
      <c r="E268" s="138" t="s">
        <v>657</v>
      </c>
      <c r="F268" s="138" t="s">
        <v>882</v>
      </c>
      <c r="G268" s="138" t="s">
        <v>659</v>
      </c>
      <c r="H268" s="138" t="s">
        <v>660</v>
      </c>
      <c r="I268" s="138" t="s">
        <v>1900</v>
      </c>
      <c r="J268" s="138" t="s">
        <v>662</v>
      </c>
      <c r="K268" s="138" t="s">
        <v>1901</v>
      </c>
      <c r="L268" s="138" t="s">
        <v>64</v>
      </c>
      <c r="M268" s="138" t="s">
        <v>885</v>
      </c>
      <c r="N268" s="138" t="s">
        <v>654</v>
      </c>
      <c r="O268" s="138" t="s">
        <v>799</v>
      </c>
      <c r="P268" s="131"/>
      <c r="Q268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/>
      <c r="AD268"/>
    </row>
    <row r="269" spans="1:30">
      <c r="A269" t="str">
        <f t="shared" si="27"/>
        <v>10-31</v>
      </c>
      <c r="B269" t="str">
        <f t="shared" si="28"/>
        <v>USD</v>
      </c>
      <c r="C269" s="138" t="s">
        <v>656</v>
      </c>
      <c r="D269" s="138">
        <v>1231031</v>
      </c>
      <c r="E269" s="138" t="s">
        <v>657</v>
      </c>
      <c r="F269" s="138" t="s">
        <v>882</v>
      </c>
      <c r="G269" s="138" t="s">
        <v>659</v>
      </c>
      <c r="H269" s="138" t="s">
        <v>660</v>
      </c>
      <c r="I269" s="138" t="s">
        <v>1902</v>
      </c>
      <c r="J269" s="138" t="s">
        <v>662</v>
      </c>
      <c r="K269" s="138" t="s">
        <v>1903</v>
      </c>
      <c r="L269" s="138" t="s">
        <v>64</v>
      </c>
      <c r="M269" s="138" t="s">
        <v>885</v>
      </c>
      <c r="N269" s="138" t="s">
        <v>654</v>
      </c>
      <c r="O269" s="138" t="s">
        <v>799</v>
      </c>
      <c r="P269" s="131"/>
      <c r="Q269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/>
      <c r="AD269"/>
    </row>
    <row r="270" spans="1:30">
      <c r="A270" t="str">
        <f t="shared" si="27"/>
        <v>10-31</v>
      </c>
      <c r="B270" t="str">
        <f t="shared" si="28"/>
        <v>USD</v>
      </c>
      <c r="C270" s="138" t="s">
        <v>656</v>
      </c>
      <c r="D270" s="138">
        <v>1231031</v>
      </c>
      <c r="E270" s="138" t="s">
        <v>657</v>
      </c>
      <c r="F270" s="138" t="s">
        <v>882</v>
      </c>
      <c r="G270" s="138" t="s">
        <v>659</v>
      </c>
      <c r="H270" s="138" t="s">
        <v>660</v>
      </c>
      <c r="I270" s="138" t="s">
        <v>1904</v>
      </c>
      <c r="J270" s="138" t="s">
        <v>662</v>
      </c>
      <c r="K270" s="138" t="s">
        <v>1905</v>
      </c>
      <c r="L270" s="138" t="s">
        <v>64</v>
      </c>
      <c r="M270" s="138" t="s">
        <v>885</v>
      </c>
      <c r="N270" s="138" t="s">
        <v>654</v>
      </c>
      <c r="O270" s="138" t="s">
        <v>799</v>
      </c>
      <c r="P270" s="131"/>
      <c r="Q270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/>
      <c r="AD270"/>
    </row>
    <row r="271" spans="1:30">
      <c r="A271" t="str">
        <f t="shared" si="27"/>
        <v>10-31</v>
      </c>
      <c r="B271" t="str">
        <f t="shared" si="28"/>
        <v>USD</v>
      </c>
      <c r="C271" s="138" t="s">
        <v>656</v>
      </c>
      <c r="D271" s="138">
        <v>1231031</v>
      </c>
      <c r="E271" s="138" t="s">
        <v>657</v>
      </c>
      <c r="F271" s="138" t="s">
        <v>882</v>
      </c>
      <c r="G271" s="138" t="s">
        <v>659</v>
      </c>
      <c r="H271" s="138" t="s">
        <v>660</v>
      </c>
      <c r="I271" s="138" t="s">
        <v>1906</v>
      </c>
      <c r="J271" s="138" t="s">
        <v>662</v>
      </c>
      <c r="K271" s="138" t="s">
        <v>1907</v>
      </c>
      <c r="L271" s="138" t="s">
        <v>64</v>
      </c>
      <c r="M271" s="138" t="s">
        <v>885</v>
      </c>
      <c r="N271" s="138" t="s">
        <v>654</v>
      </c>
      <c r="O271" s="138" t="s">
        <v>799</v>
      </c>
      <c r="P271" s="131"/>
      <c r="Q27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/>
      <c r="AD271"/>
    </row>
    <row r="272" spans="1:30">
      <c r="A272" t="str">
        <f t="shared" si="27"/>
        <v>10-31</v>
      </c>
      <c r="B272" t="str">
        <f t="shared" si="28"/>
        <v>USD</v>
      </c>
      <c r="C272" s="138" t="s">
        <v>656</v>
      </c>
      <c r="D272" s="138">
        <v>1231031</v>
      </c>
      <c r="E272" s="138" t="s">
        <v>657</v>
      </c>
      <c r="F272" s="138" t="s">
        <v>882</v>
      </c>
      <c r="G272" s="138" t="s">
        <v>659</v>
      </c>
      <c r="H272" s="138" t="s">
        <v>660</v>
      </c>
      <c r="I272" s="138" t="s">
        <v>1908</v>
      </c>
      <c r="J272" s="138" t="s">
        <v>662</v>
      </c>
      <c r="K272" s="138" t="s">
        <v>1909</v>
      </c>
      <c r="L272" s="138" t="s">
        <v>64</v>
      </c>
      <c r="M272" s="138" t="s">
        <v>885</v>
      </c>
      <c r="N272" s="138" t="s">
        <v>654</v>
      </c>
      <c r="O272" s="138" t="s">
        <v>799</v>
      </c>
      <c r="P272" s="131"/>
      <c r="Q272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  <c r="AC272"/>
      <c r="AD272"/>
    </row>
    <row r="273" spans="1:30">
      <c r="A273" t="str">
        <f t="shared" si="27"/>
        <v>10-31</v>
      </c>
      <c r="B273" t="str">
        <f t="shared" si="28"/>
        <v>USD</v>
      </c>
      <c r="C273" s="138" t="s">
        <v>656</v>
      </c>
      <c r="D273" s="138">
        <v>1231031</v>
      </c>
      <c r="E273" s="138" t="s">
        <v>657</v>
      </c>
      <c r="F273" s="138" t="s">
        <v>882</v>
      </c>
      <c r="G273" s="138" t="s">
        <v>659</v>
      </c>
      <c r="H273" s="138" t="s">
        <v>660</v>
      </c>
      <c r="I273" s="138" t="s">
        <v>1910</v>
      </c>
      <c r="J273" s="138" t="s">
        <v>662</v>
      </c>
      <c r="K273" s="138" t="s">
        <v>1911</v>
      </c>
      <c r="L273" s="138" t="s">
        <v>64</v>
      </c>
      <c r="M273" s="138" t="s">
        <v>885</v>
      </c>
      <c r="N273" s="138" t="s">
        <v>654</v>
      </c>
      <c r="O273" s="138" t="s">
        <v>799</v>
      </c>
      <c r="P273" s="131"/>
      <c r="Q273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  <c r="AC273"/>
      <c r="AD273"/>
    </row>
    <row r="274" spans="1:30">
      <c r="A274" t="str">
        <f t="shared" si="27"/>
        <v>10-31</v>
      </c>
      <c r="B274" t="str">
        <f t="shared" si="28"/>
        <v>USD</v>
      </c>
      <c r="C274" s="138" t="s">
        <v>656</v>
      </c>
      <c r="D274" s="138">
        <v>1231031</v>
      </c>
      <c r="E274" s="138" t="s">
        <v>657</v>
      </c>
      <c r="F274" s="138" t="s">
        <v>882</v>
      </c>
      <c r="G274" s="138" t="s">
        <v>659</v>
      </c>
      <c r="H274" s="138" t="s">
        <v>660</v>
      </c>
      <c r="I274" s="138" t="s">
        <v>1912</v>
      </c>
      <c r="J274" s="138" t="s">
        <v>662</v>
      </c>
      <c r="K274" s="138" t="s">
        <v>1913</v>
      </c>
      <c r="L274" s="138" t="s">
        <v>64</v>
      </c>
      <c r="M274" s="138" t="s">
        <v>885</v>
      </c>
      <c r="N274" s="138" t="s">
        <v>654</v>
      </c>
      <c r="O274" s="138" t="s">
        <v>799</v>
      </c>
      <c r="P274" s="131"/>
      <c r="Q274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/>
      <c r="AD274"/>
    </row>
    <row r="275" spans="1:30">
      <c r="A275" t="str">
        <f t="shared" si="27"/>
        <v>10-31</v>
      </c>
      <c r="B275" t="str">
        <f t="shared" si="28"/>
        <v>USD</v>
      </c>
      <c r="C275" s="141" t="s">
        <v>656</v>
      </c>
      <c r="D275" s="141">
        <v>1231031</v>
      </c>
      <c r="E275" s="141" t="s">
        <v>657</v>
      </c>
      <c r="F275" s="141" t="s">
        <v>882</v>
      </c>
      <c r="G275" s="141" t="s">
        <v>659</v>
      </c>
      <c r="H275" s="141" t="s">
        <v>660</v>
      </c>
      <c r="I275" s="141" t="s">
        <v>1914</v>
      </c>
      <c r="J275" s="141" t="s">
        <v>662</v>
      </c>
      <c r="K275" s="141" t="s">
        <v>1915</v>
      </c>
      <c r="L275" s="141" t="s">
        <v>64</v>
      </c>
      <c r="M275" s="141" t="s">
        <v>885</v>
      </c>
      <c r="N275" s="141" t="s">
        <v>654</v>
      </c>
      <c r="O275" s="141" t="s">
        <v>799</v>
      </c>
      <c r="P275" s="131"/>
      <c r="Q275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/>
      <c r="AD275"/>
    </row>
    <row r="276" spans="1:30">
      <c r="A276" t="str">
        <f t="shared" si="27"/>
        <v>10-31</v>
      </c>
      <c r="B276" t="str">
        <f t="shared" si="28"/>
        <v>USD</v>
      </c>
      <c r="C276" s="141" t="s">
        <v>656</v>
      </c>
      <c r="D276" s="141">
        <v>1231031</v>
      </c>
      <c r="E276" s="141" t="s">
        <v>657</v>
      </c>
      <c r="F276" s="141" t="s">
        <v>882</v>
      </c>
      <c r="G276" s="141" t="s">
        <v>659</v>
      </c>
      <c r="H276" s="141" t="s">
        <v>660</v>
      </c>
      <c r="I276" s="141" t="s">
        <v>1916</v>
      </c>
      <c r="J276" s="141" t="s">
        <v>662</v>
      </c>
      <c r="K276" s="141" t="s">
        <v>1917</v>
      </c>
      <c r="L276" s="141" t="s">
        <v>64</v>
      </c>
      <c r="M276" s="141" t="s">
        <v>885</v>
      </c>
      <c r="N276" s="141" t="s">
        <v>654</v>
      </c>
      <c r="O276" s="141" t="s">
        <v>799</v>
      </c>
      <c r="P276" s="131"/>
      <c r="Q276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/>
      <c r="AD276"/>
    </row>
    <row r="277" spans="1:30">
      <c r="A277" t="str">
        <f t="shared" si="27"/>
        <v>10-31</v>
      </c>
      <c r="B277" t="str">
        <f t="shared" si="28"/>
        <v>USD</v>
      </c>
      <c r="C277" s="141" t="s">
        <v>656</v>
      </c>
      <c r="D277" s="141">
        <v>1231031</v>
      </c>
      <c r="E277" s="141" t="s">
        <v>657</v>
      </c>
      <c r="F277" s="141" t="s">
        <v>882</v>
      </c>
      <c r="G277" s="141" t="s">
        <v>659</v>
      </c>
      <c r="H277" s="141" t="s">
        <v>660</v>
      </c>
      <c r="I277" s="141" t="s">
        <v>1918</v>
      </c>
      <c r="J277" s="141" t="s">
        <v>662</v>
      </c>
      <c r="K277" s="141" t="s">
        <v>1919</v>
      </c>
      <c r="L277" s="141" t="s">
        <v>64</v>
      </c>
      <c r="M277" s="141" t="s">
        <v>885</v>
      </c>
      <c r="N277" s="141" t="s">
        <v>654</v>
      </c>
      <c r="O277" s="141" t="s">
        <v>799</v>
      </c>
      <c r="P277" s="131"/>
      <c r="Q277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/>
      <c r="AD277"/>
    </row>
    <row r="278" spans="1:30">
      <c r="A278" t="str">
        <f t="shared" si="27"/>
        <v>10-31</v>
      </c>
      <c r="B278" t="str">
        <f t="shared" si="28"/>
        <v>USD</v>
      </c>
      <c r="C278" s="141" t="s">
        <v>656</v>
      </c>
      <c r="D278" s="141">
        <v>1231031</v>
      </c>
      <c r="E278" s="141" t="s">
        <v>707</v>
      </c>
      <c r="F278" s="141" t="s">
        <v>1028</v>
      </c>
      <c r="G278" s="141" t="s">
        <v>1029</v>
      </c>
      <c r="H278" s="141" t="s">
        <v>1030</v>
      </c>
      <c r="I278" s="141" t="s">
        <v>1920</v>
      </c>
      <c r="J278" s="141" t="s">
        <v>662</v>
      </c>
      <c r="K278" s="141" t="s">
        <v>1921</v>
      </c>
      <c r="L278" s="141" t="s">
        <v>61</v>
      </c>
      <c r="M278" s="141" t="s">
        <v>879</v>
      </c>
      <c r="N278" s="141" t="s">
        <v>654</v>
      </c>
      <c r="O278" s="141" t="s">
        <v>799</v>
      </c>
      <c r="P278" s="131"/>
      <c r="Q278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/>
      <c r="AD278"/>
    </row>
    <row r="279" spans="1:30">
      <c r="A279" t="str">
        <f t="shared" si="27"/>
        <v>10-31</v>
      </c>
      <c r="B279" t="str">
        <f t="shared" si="28"/>
        <v>USD</v>
      </c>
      <c r="C279" s="141" t="s">
        <v>656</v>
      </c>
      <c r="D279" s="141">
        <v>1231031</v>
      </c>
      <c r="E279" s="141" t="s">
        <v>707</v>
      </c>
      <c r="F279" s="141" t="s">
        <v>1028</v>
      </c>
      <c r="G279" s="141" t="s">
        <v>1029</v>
      </c>
      <c r="H279" s="141" t="s">
        <v>1030</v>
      </c>
      <c r="I279" s="141" t="s">
        <v>1922</v>
      </c>
      <c r="J279" s="141" t="s">
        <v>662</v>
      </c>
      <c r="K279" s="141" t="s">
        <v>1923</v>
      </c>
      <c r="L279" s="141" t="s">
        <v>61</v>
      </c>
      <c r="M279" s="141" t="s">
        <v>879</v>
      </c>
      <c r="N279" s="141" t="s">
        <v>654</v>
      </c>
      <c r="O279" s="141" t="s">
        <v>799</v>
      </c>
      <c r="P279" s="131"/>
      <c r="Q279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/>
      <c r="AD279"/>
    </row>
    <row r="280" spans="1:30">
      <c r="A280" t="str">
        <f t="shared" si="27"/>
        <v>10-31</v>
      </c>
      <c r="B280" t="str">
        <f t="shared" si="28"/>
        <v>USD</v>
      </c>
      <c r="C280" s="141" t="s">
        <v>656</v>
      </c>
      <c r="D280" s="141">
        <v>1231031</v>
      </c>
      <c r="E280" s="141" t="s">
        <v>707</v>
      </c>
      <c r="F280" s="141" t="s">
        <v>1028</v>
      </c>
      <c r="G280" s="141" t="s">
        <v>1029</v>
      </c>
      <c r="H280" s="141" t="s">
        <v>1030</v>
      </c>
      <c r="I280" s="141" t="s">
        <v>1924</v>
      </c>
      <c r="J280" s="141" t="s">
        <v>662</v>
      </c>
      <c r="K280" s="141" t="s">
        <v>1925</v>
      </c>
      <c r="L280" s="141" t="s">
        <v>61</v>
      </c>
      <c r="M280" s="141" t="s">
        <v>879</v>
      </c>
      <c r="N280" s="141" t="s">
        <v>654</v>
      </c>
      <c r="O280" s="141" t="s">
        <v>799</v>
      </c>
      <c r="P280" s="131"/>
      <c r="Q280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/>
      <c r="AD280"/>
    </row>
    <row r="281" spans="1:30">
      <c r="A281" t="str">
        <f t="shared" si="27"/>
        <v>10-31</v>
      </c>
      <c r="B281" t="str">
        <f t="shared" si="28"/>
        <v>USD</v>
      </c>
      <c r="C281" s="141" t="s">
        <v>656</v>
      </c>
      <c r="D281" s="141">
        <v>1231031</v>
      </c>
      <c r="E281" s="141" t="s">
        <v>707</v>
      </c>
      <c r="F281" s="141" t="s">
        <v>1028</v>
      </c>
      <c r="G281" s="141" t="s">
        <v>1029</v>
      </c>
      <c r="H281" s="141" t="s">
        <v>1030</v>
      </c>
      <c r="I281" s="141" t="s">
        <v>1926</v>
      </c>
      <c r="J281" s="141" t="s">
        <v>662</v>
      </c>
      <c r="K281" s="141" t="s">
        <v>1927</v>
      </c>
      <c r="L281" s="141" t="s">
        <v>61</v>
      </c>
      <c r="M281" s="141" t="s">
        <v>879</v>
      </c>
      <c r="N281" s="141" t="s">
        <v>654</v>
      </c>
      <c r="O281" s="141" t="s">
        <v>799</v>
      </c>
      <c r="P281" s="131"/>
      <c r="Q28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/>
      <c r="AD281"/>
    </row>
    <row r="282" spans="1:30">
      <c r="A282" t="str">
        <f t="shared" si="27"/>
        <v>10-31</v>
      </c>
      <c r="B282" t="str">
        <f t="shared" si="28"/>
        <v>USD</v>
      </c>
      <c r="C282" s="141" t="s">
        <v>656</v>
      </c>
      <c r="D282" s="141">
        <v>1231031</v>
      </c>
      <c r="E282" s="141" t="s">
        <v>707</v>
      </c>
      <c r="F282" s="141" t="s">
        <v>1028</v>
      </c>
      <c r="G282" s="141" t="s">
        <v>1029</v>
      </c>
      <c r="H282" s="141" t="s">
        <v>1030</v>
      </c>
      <c r="I282" s="141" t="s">
        <v>1928</v>
      </c>
      <c r="J282" s="141" t="s">
        <v>662</v>
      </c>
      <c r="K282" s="141" t="s">
        <v>1929</v>
      </c>
      <c r="L282" s="141" t="s">
        <v>61</v>
      </c>
      <c r="M282" s="141" t="s">
        <v>879</v>
      </c>
      <c r="N282" s="141" t="s">
        <v>654</v>
      </c>
      <c r="O282" s="141" t="s">
        <v>799</v>
      </c>
      <c r="P282" s="141"/>
      <c r="Q282"/>
      <c r="R282" s="141"/>
      <c r="S282" s="141"/>
      <c r="T282" s="141"/>
      <c r="U282" s="141"/>
      <c r="V282" s="141"/>
      <c r="W282" s="141"/>
      <c r="X282" s="141"/>
      <c r="Y282" s="141"/>
      <c r="Z282" s="141"/>
      <c r="AA282" s="141"/>
      <c r="AB282" s="141"/>
      <c r="AC282"/>
      <c r="AD282"/>
    </row>
    <row r="283" spans="1:30">
      <c r="A283" t="str">
        <f t="shared" si="27"/>
        <v>10-31</v>
      </c>
      <c r="B283" t="str">
        <f t="shared" si="28"/>
        <v>USD</v>
      </c>
      <c r="C283" s="141" t="s">
        <v>656</v>
      </c>
      <c r="D283" s="141">
        <v>1231031</v>
      </c>
      <c r="E283" s="141" t="s">
        <v>707</v>
      </c>
      <c r="F283" s="141" t="s">
        <v>1028</v>
      </c>
      <c r="G283" s="141" t="s">
        <v>1029</v>
      </c>
      <c r="H283" s="141" t="s">
        <v>1030</v>
      </c>
      <c r="I283" s="141" t="s">
        <v>1930</v>
      </c>
      <c r="J283" s="141" t="s">
        <v>662</v>
      </c>
      <c r="K283" s="141" t="s">
        <v>1931</v>
      </c>
      <c r="L283" s="141" t="s">
        <v>92</v>
      </c>
      <c r="M283" s="141" t="s">
        <v>1932</v>
      </c>
      <c r="N283" s="141" t="s">
        <v>654</v>
      </c>
      <c r="O283" s="141" t="s">
        <v>714</v>
      </c>
      <c r="P283" s="141"/>
      <c r="Q283"/>
      <c r="R283" s="141"/>
      <c r="S283" s="141"/>
      <c r="T283" s="141"/>
      <c r="U283" s="141"/>
      <c r="V283" s="141"/>
      <c r="W283" s="141"/>
      <c r="X283" s="141"/>
      <c r="Y283" s="141"/>
      <c r="Z283" s="141"/>
      <c r="AA283" s="141"/>
      <c r="AB283" s="141"/>
      <c r="AC283"/>
      <c r="AD283"/>
    </row>
    <row r="284" spans="1:30">
      <c r="A284" t="str">
        <f t="shared" si="27"/>
        <v>10-31</v>
      </c>
      <c r="B284" t="str">
        <f t="shared" si="28"/>
        <v>USD</v>
      </c>
      <c r="C284" s="141" t="s">
        <v>656</v>
      </c>
      <c r="D284" s="141">
        <v>1231031</v>
      </c>
      <c r="E284" s="141" t="s">
        <v>707</v>
      </c>
      <c r="F284" s="141" t="s">
        <v>1028</v>
      </c>
      <c r="G284" s="141" t="s">
        <v>1029</v>
      </c>
      <c r="H284" s="141" t="s">
        <v>1030</v>
      </c>
      <c r="I284" s="141" t="s">
        <v>1933</v>
      </c>
      <c r="J284" s="141" t="s">
        <v>662</v>
      </c>
      <c r="K284" s="141" t="s">
        <v>1934</v>
      </c>
      <c r="L284" s="141" t="s">
        <v>92</v>
      </c>
      <c r="M284" s="141" t="s">
        <v>1932</v>
      </c>
      <c r="N284" s="141" t="s">
        <v>654</v>
      </c>
      <c r="O284" s="141" t="s">
        <v>714</v>
      </c>
      <c r="P284" s="141"/>
      <c r="Q284"/>
      <c r="R284" s="141"/>
      <c r="S284" s="141"/>
      <c r="T284" s="141"/>
      <c r="U284" s="141"/>
      <c r="V284" s="141"/>
      <c r="W284" s="141"/>
      <c r="X284" s="141"/>
      <c r="Y284" s="141"/>
      <c r="Z284" s="141"/>
      <c r="AA284" s="141"/>
      <c r="AB284" s="141"/>
      <c r="AC284"/>
      <c r="AD284"/>
    </row>
    <row r="285" spans="1:30">
      <c r="A285" t="str">
        <f t="shared" si="27"/>
        <v>10-31</v>
      </c>
      <c r="B285" t="str">
        <f t="shared" si="28"/>
        <v>USD</v>
      </c>
      <c r="C285" s="141" t="s">
        <v>656</v>
      </c>
      <c r="D285" s="141">
        <v>1231031</v>
      </c>
      <c r="E285" s="141" t="s">
        <v>707</v>
      </c>
      <c r="F285" s="141" t="s">
        <v>1028</v>
      </c>
      <c r="G285" s="141" t="s">
        <v>1029</v>
      </c>
      <c r="H285" s="141" t="s">
        <v>1030</v>
      </c>
      <c r="I285" s="141" t="s">
        <v>1935</v>
      </c>
      <c r="J285" s="141" t="s">
        <v>662</v>
      </c>
      <c r="K285" s="141" t="s">
        <v>1936</v>
      </c>
      <c r="L285" s="141" t="s">
        <v>92</v>
      </c>
      <c r="M285" s="141" t="s">
        <v>1932</v>
      </c>
      <c r="N285" s="141" t="s">
        <v>654</v>
      </c>
      <c r="O285" s="141" t="s">
        <v>714</v>
      </c>
      <c r="P285" s="141"/>
      <c r="Q285"/>
      <c r="R285" s="141"/>
      <c r="S285" s="141"/>
      <c r="T285" s="141"/>
      <c r="U285" s="141"/>
      <c r="V285" s="141"/>
      <c r="W285" s="141"/>
      <c r="X285" s="141"/>
      <c r="Y285" s="141"/>
      <c r="Z285" s="141"/>
      <c r="AA285" s="141"/>
      <c r="AB285" s="141"/>
      <c r="AC285"/>
      <c r="AD285"/>
    </row>
    <row r="286" spans="1:30">
      <c r="A286" t="str">
        <f t="shared" si="27"/>
        <v>10-31</v>
      </c>
      <c r="B286" t="str">
        <f t="shared" si="28"/>
        <v>USD</v>
      </c>
      <c r="C286" s="141" t="s">
        <v>656</v>
      </c>
      <c r="D286" s="141">
        <v>1231031</v>
      </c>
      <c r="E286" s="141" t="s">
        <v>707</v>
      </c>
      <c r="F286" s="141" t="s">
        <v>1028</v>
      </c>
      <c r="G286" s="141" t="s">
        <v>1029</v>
      </c>
      <c r="H286" s="141" t="s">
        <v>1030</v>
      </c>
      <c r="I286" s="141" t="s">
        <v>1937</v>
      </c>
      <c r="J286" s="141" t="s">
        <v>662</v>
      </c>
      <c r="K286" s="141" t="s">
        <v>1938</v>
      </c>
      <c r="L286" s="141" t="s">
        <v>92</v>
      </c>
      <c r="M286" s="141" t="s">
        <v>1932</v>
      </c>
      <c r="N286" s="141" t="s">
        <v>654</v>
      </c>
      <c r="O286" s="141" t="s">
        <v>714</v>
      </c>
      <c r="P286" s="141"/>
      <c r="Q286"/>
      <c r="R286" s="141"/>
      <c r="S286" s="141"/>
      <c r="T286" s="141"/>
      <c r="U286" s="141"/>
      <c r="V286" s="141"/>
      <c r="W286" s="141"/>
      <c r="X286" s="141"/>
      <c r="Y286" s="141"/>
      <c r="Z286" s="141"/>
      <c r="AA286" s="141"/>
      <c r="AB286" s="141"/>
      <c r="AC286"/>
      <c r="AD286"/>
    </row>
    <row r="287" spans="1:30">
      <c r="A287" t="str">
        <f t="shared" si="27"/>
        <v>10-31</v>
      </c>
      <c r="B287" t="str">
        <f t="shared" si="28"/>
        <v>USD</v>
      </c>
      <c r="C287" s="141" t="s">
        <v>656</v>
      </c>
      <c r="D287" s="141">
        <v>1231031</v>
      </c>
      <c r="E287" s="141" t="s">
        <v>707</v>
      </c>
      <c r="F287" s="141" t="s">
        <v>1028</v>
      </c>
      <c r="G287" s="141" t="s">
        <v>1029</v>
      </c>
      <c r="H287" s="141" t="s">
        <v>1030</v>
      </c>
      <c r="I287" s="141" t="s">
        <v>1939</v>
      </c>
      <c r="J287" s="141" t="s">
        <v>662</v>
      </c>
      <c r="K287" s="141" t="s">
        <v>1940</v>
      </c>
      <c r="L287" s="141" t="s">
        <v>92</v>
      </c>
      <c r="M287" s="141" t="s">
        <v>1932</v>
      </c>
      <c r="N287" s="141" t="s">
        <v>654</v>
      </c>
      <c r="O287" s="141" t="s">
        <v>714</v>
      </c>
      <c r="P287" s="141"/>
      <c r="Q287"/>
      <c r="R287" s="141"/>
      <c r="S287" s="141"/>
      <c r="T287" s="141"/>
      <c r="U287" s="141"/>
      <c r="V287" s="141"/>
      <c r="W287" s="141"/>
      <c r="X287" s="141"/>
      <c r="Y287" s="141"/>
      <c r="Z287" s="141"/>
      <c r="AA287" s="141"/>
      <c r="AB287" s="141"/>
      <c r="AC287"/>
      <c r="AD287"/>
    </row>
    <row r="288" spans="1:30">
      <c r="A288" t="str">
        <f>MID(D288,(LEN(D288)-3),2)&amp;"-"&amp;MID(D288,(LEN(D288)-1),2)</f>
        <v>10-31</v>
      </c>
      <c r="B288" t="str">
        <f>IF(H288="AU","AUD","USD")</f>
        <v>USD</v>
      </c>
      <c r="C288" s="141" t="s">
        <v>656</v>
      </c>
      <c r="D288" s="141">
        <v>1231031</v>
      </c>
      <c r="E288" s="141" t="s">
        <v>707</v>
      </c>
      <c r="F288" s="141" t="s">
        <v>1028</v>
      </c>
      <c r="G288" s="141" t="s">
        <v>1029</v>
      </c>
      <c r="H288" s="141" t="s">
        <v>1030</v>
      </c>
      <c r="I288" s="141" t="s">
        <v>1941</v>
      </c>
      <c r="J288" s="141" t="s">
        <v>662</v>
      </c>
      <c r="K288" s="141" t="s">
        <v>1942</v>
      </c>
      <c r="L288" s="141" t="s">
        <v>92</v>
      </c>
      <c r="M288" s="141" t="s">
        <v>1932</v>
      </c>
      <c r="N288" s="141" t="s">
        <v>654</v>
      </c>
      <c r="O288" s="141" t="s">
        <v>714</v>
      </c>
      <c r="P288" s="141"/>
      <c r="Q288"/>
      <c r="R288" s="141"/>
      <c r="S288" s="141"/>
      <c r="T288" s="141"/>
      <c r="U288" s="141"/>
      <c r="V288" s="141"/>
      <c r="W288" s="141"/>
      <c r="X288" s="141"/>
      <c r="Y288" s="141"/>
      <c r="Z288" s="141"/>
      <c r="AA288" s="141"/>
      <c r="AB288" s="141"/>
      <c r="AC288"/>
      <c r="AD288"/>
    </row>
    <row r="289" spans="1:30">
      <c r="A289" t="str">
        <f t="shared" si="27"/>
        <v>10-31</v>
      </c>
      <c r="B289" t="str">
        <f t="shared" si="28"/>
        <v>USD</v>
      </c>
      <c r="C289" s="141" t="s">
        <v>656</v>
      </c>
      <c r="D289" s="141">
        <v>1231031</v>
      </c>
      <c r="E289" s="141" t="s">
        <v>707</v>
      </c>
      <c r="F289" s="141" t="s">
        <v>1028</v>
      </c>
      <c r="G289" s="141" t="s">
        <v>1029</v>
      </c>
      <c r="H289" s="141" t="s">
        <v>1030</v>
      </c>
      <c r="I289" s="141" t="s">
        <v>1943</v>
      </c>
      <c r="J289" s="141" t="s">
        <v>662</v>
      </c>
      <c r="K289" s="141" t="s">
        <v>1944</v>
      </c>
      <c r="L289" s="141" t="s">
        <v>119</v>
      </c>
      <c r="M289" s="141" t="s">
        <v>905</v>
      </c>
      <c r="N289" s="141" t="s">
        <v>654</v>
      </c>
      <c r="O289" s="141" t="s">
        <v>714</v>
      </c>
      <c r="P289" s="141"/>
      <c r="Q289"/>
      <c r="R289" s="141"/>
      <c r="S289" s="141"/>
      <c r="T289" s="141"/>
      <c r="U289" s="141"/>
      <c r="V289" s="141"/>
      <c r="W289" s="141"/>
      <c r="X289" s="141"/>
      <c r="Y289" s="141"/>
      <c r="Z289" s="141"/>
      <c r="AA289" s="141"/>
      <c r="AB289" s="141"/>
      <c r="AC289"/>
      <c r="AD289"/>
    </row>
    <row r="290" spans="1:30">
      <c r="A290" t="str">
        <f t="shared" si="27"/>
        <v>10-31</v>
      </c>
      <c r="B290" t="str">
        <f t="shared" si="28"/>
        <v>USD</v>
      </c>
      <c r="C290" s="141" t="s">
        <v>656</v>
      </c>
      <c r="D290" s="141">
        <v>1231031</v>
      </c>
      <c r="E290" s="141" t="s">
        <v>707</v>
      </c>
      <c r="F290" s="141" t="s">
        <v>1028</v>
      </c>
      <c r="G290" s="141" t="s">
        <v>1029</v>
      </c>
      <c r="H290" s="141" t="s">
        <v>1030</v>
      </c>
      <c r="I290" s="141" t="s">
        <v>1945</v>
      </c>
      <c r="J290" s="141" t="s">
        <v>662</v>
      </c>
      <c r="K290" s="141" t="s">
        <v>1946</v>
      </c>
      <c r="L290" s="141" t="s">
        <v>119</v>
      </c>
      <c r="M290" s="141" t="s">
        <v>905</v>
      </c>
      <c r="N290" s="141" t="s">
        <v>654</v>
      </c>
      <c r="O290" s="141" t="s">
        <v>714</v>
      </c>
      <c r="P290" s="141"/>
      <c r="Q290"/>
      <c r="R290" s="141"/>
      <c r="S290" s="141"/>
      <c r="T290" s="141"/>
      <c r="U290" s="141"/>
      <c r="V290" s="141"/>
      <c r="W290" s="141"/>
      <c r="X290" s="141"/>
      <c r="Y290" s="141"/>
      <c r="Z290" s="141"/>
      <c r="AA290" s="141"/>
      <c r="AB290" s="141"/>
      <c r="AC290"/>
      <c r="AD290"/>
    </row>
    <row r="291" spans="1:30">
      <c r="A291" t="str">
        <f t="shared" ref="A291:A301" si="31">MID(D291,(LEN(D291)-3),2)&amp;"-"&amp;MID(D291,(LEN(D291)-1),2)</f>
        <v>10-31</v>
      </c>
      <c r="B291" t="str">
        <f t="shared" ref="B291:B301" si="32">IF(H291="AU","AUD","USD")</f>
        <v>USD</v>
      </c>
      <c r="C291" s="141" t="s">
        <v>656</v>
      </c>
      <c r="D291" s="141">
        <v>1231031</v>
      </c>
      <c r="E291" s="141" t="s">
        <v>707</v>
      </c>
      <c r="F291" s="141" t="s">
        <v>1028</v>
      </c>
      <c r="G291" s="141" t="s">
        <v>1029</v>
      </c>
      <c r="H291" s="141" t="s">
        <v>1030</v>
      </c>
      <c r="I291" s="141" t="s">
        <v>1947</v>
      </c>
      <c r="J291" s="141" t="s">
        <v>662</v>
      </c>
      <c r="K291" s="141" t="s">
        <v>1948</v>
      </c>
      <c r="L291" s="141" t="s">
        <v>119</v>
      </c>
      <c r="M291" s="141" t="s">
        <v>905</v>
      </c>
      <c r="N291" s="141" t="s">
        <v>654</v>
      </c>
      <c r="O291" s="141" t="s">
        <v>714</v>
      </c>
      <c r="P291" s="141"/>
      <c r="Q291"/>
      <c r="R291" s="141"/>
      <c r="S291" s="141"/>
      <c r="T291" s="141"/>
      <c r="U291" s="141"/>
      <c r="V291" s="141"/>
      <c r="W291" s="141"/>
      <c r="X291" s="141"/>
      <c r="Y291" s="141"/>
      <c r="Z291" s="141"/>
      <c r="AA291" s="141"/>
      <c r="AB291" s="141"/>
      <c r="AC291"/>
      <c r="AD291"/>
    </row>
    <row r="292" spans="1:30">
      <c r="A292" t="str">
        <f t="shared" si="31"/>
        <v>10-31</v>
      </c>
      <c r="B292" t="str">
        <f t="shared" si="32"/>
        <v>USD</v>
      </c>
      <c r="C292" s="141" t="s">
        <v>656</v>
      </c>
      <c r="D292" s="141">
        <v>1231031</v>
      </c>
      <c r="E292" s="141" t="s">
        <v>707</v>
      </c>
      <c r="F292" s="141" t="s">
        <v>1028</v>
      </c>
      <c r="G292" s="141" t="s">
        <v>1029</v>
      </c>
      <c r="H292" s="141" t="s">
        <v>1030</v>
      </c>
      <c r="I292" s="141" t="s">
        <v>1949</v>
      </c>
      <c r="J292" s="141" t="s">
        <v>662</v>
      </c>
      <c r="K292" s="141" t="s">
        <v>1950</v>
      </c>
      <c r="L292" s="141" t="s">
        <v>119</v>
      </c>
      <c r="M292" s="141" t="s">
        <v>905</v>
      </c>
      <c r="N292" s="141" t="s">
        <v>654</v>
      </c>
      <c r="O292" s="141" t="s">
        <v>714</v>
      </c>
      <c r="P292" s="141"/>
      <c r="Q292"/>
      <c r="R292" s="141"/>
      <c r="S292" s="141"/>
      <c r="T292" s="141"/>
      <c r="U292" s="141"/>
      <c r="V292" s="141"/>
      <c r="W292" s="141"/>
      <c r="X292" s="141"/>
      <c r="Y292" s="141"/>
      <c r="Z292" s="141"/>
      <c r="AA292" s="141"/>
      <c r="AB292" s="141"/>
      <c r="AC292"/>
      <c r="AD292"/>
    </row>
    <row r="293" spans="1:30">
      <c r="A293" t="str">
        <f t="shared" si="31"/>
        <v>10-31</v>
      </c>
      <c r="B293" t="str">
        <f t="shared" si="32"/>
        <v>USD</v>
      </c>
      <c r="C293" s="141" t="s">
        <v>656</v>
      </c>
      <c r="D293" s="141">
        <v>1231031</v>
      </c>
      <c r="E293" s="141" t="s">
        <v>707</v>
      </c>
      <c r="F293" s="141" t="s">
        <v>1028</v>
      </c>
      <c r="G293" s="141" t="s">
        <v>1029</v>
      </c>
      <c r="H293" s="141" t="s">
        <v>1030</v>
      </c>
      <c r="I293" s="141" t="s">
        <v>1951</v>
      </c>
      <c r="J293" s="141" t="s">
        <v>662</v>
      </c>
      <c r="K293" s="141" t="s">
        <v>1952</v>
      </c>
      <c r="L293" s="141" t="s">
        <v>234</v>
      </c>
      <c r="M293" s="141" t="s">
        <v>1663</v>
      </c>
      <c r="N293" s="141" t="s">
        <v>654</v>
      </c>
      <c r="O293" s="141" t="s">
        <v>714</v>
      </c>
      <c r="P293" s="141"/>
      <c r="Q293"/>
      <c r="R293" s="141"/>
      <c r="S293" s="141"/>
      <c r="T293" s="141"/>
      <c r="U293" s="141"/>
      <c r="V293" s="141"/>
      <c r="W293" s="141"/>
      <c r="X293" s="141"/>
      <c r="Y293" s="141"/>
      <c r="Z293" s="141"/>
      <c r="AA293" s="141"/>
      <c r="AB293" s="141"/>
      <c r="AC293"/>
      <c r="AD293"/>
    </row>
    <row r="294" spans="1:30">
      <c r="A294" t="str">
        <f t="shared" si="31"/>
        <v>10-31</v>
      </c>
      <c r="B294" t="str">
        <f t="shared" si="32"/>
        <v>USD</v>
      </c>
      <c r="C294" s="141" t="s">
        <v>656</v>
      </c>
      <c r="D294" s="141">
        <v>1231031</v>
      </c>
      <c r="E294" s="141" t="s">
        <v>707</v>
      </c>
      <c r="F294" s="141" t="s">
        <v>1028</v>
      </c>
      <c r="G294" s="141" t="s">
        <v>1029</v>
      </c>
      <c r="H294" s="141" t="s">
        <v>1030</v>
      </c>
      <c r="I294" s="141" t="s">
        <v>1953</v>
      </c>
      <c r="J294" s="141" t="s">
        <v>662</v>
      </c>
      <c r="K294" s="141" t="s">
        <v>1954</v>
      </c>
      <c r="L294" s="141" t="s">
        <v>234</v>
      </c>
      <c r="M294" s="141" t="s">
        <v>1663</v>
      </c>
      <c r="N294" s="141" t="s">
        <v>654</v>
      </c>
      <c r="O294" s="141" t="s">
        <v>714</v>
      </c>
      <c r="P294" s="141"/>
      <c r="Q294"/>
      <c r="R294" s="141"/>
      <c r="S294" s="141"/>
      <c r="T294" s="141"/>
      <c r="U294" s="141"/>
      <c r="V294" s="141"/>
      <c r="W294" s="141"/>
      <c r="X294" s="141"/>
      <c r="Y294" s="141"/>
      <c r="Z294" s="141"/>
      <c r="AA294" s="141"/>
      <c r="AB294" s="141"/>
      <c r="AC294"/>
      <c r="AD294"/>
    </row>
    <row r="295" spans="1:30">
      <c r="A295" t="str">
        <f t="shared" si="31"/>
        <v>10-31</v>
      </c>
      <c r="B295" t="str">
        <f t="shared" si="32"/>
        <v>USD</v>
      </c>
      <c r="C295" s="141" t="s">
        <v>656</v>
      </c>
      <c r="D295" s="141">
        <v>1231031</v>
      </c>
      <c r="E295" s="141" t="s">
        <v>707</v>
      </c>
      <c r="F295" s="141" t="s">
        <v>800</v>
      </c>
      <c r="G295" s="141" t="s">
        <v>801</v>
      </c>
      <c r="H295" s="141" t="s">
        <v>660</v>
      </c>
      <c r="I295" s="141" t="s">
        <v>1955</v>
      </c>
      <c r="J295" s="141" t="s">
        <v>662</v>
      </c>
      <c r="K295" s="141" t="s">
        <v>1956</v>
      </c>
      <c r="L295" s="141" t="s">
        <v>61</v>
      </c>
      <c r="M295" s="141" t="s">
        <v>879</v>
      </c>
      <c r="N295" s="141" t="s">
        <v>654</v>
      </c>
      <c r="O295" s="141" t="s">
        <v>799</v>
      </c>
      <c r="P295" s="141"/>
      <c r="Q295"/>
      <c r="R295" s="141"/>
      <c r="S295" s="141"/>
      <c r="T295" s="141"/>
      <c r="U295" s="141"/>
      <c r="V295" s="141"/>
      <c r="W295" s="141"/>
      <c r="X295" s="141"/>
      <c r="Y295" s="141"/>
      <c r="Z295" s="141"/>
      <c r="AA295" s="141"/>
      <c r="AB295" s="141"/>
      <c r="AC295"/>
      <c r="AD295"/>
    </row>
    <row r="296" spans="1:30">
      <c r="A296" t="str">
        <f t="shared" si="31"/>
        <v>10-01</v>
      </c>
      <c r="B296" t="str">
        <f t="shared" si="32"/>
        <v>AUD</v>
      </c>
      <c r="C296" s="141" t="s">
        <v>793</v>
      </c>
      <c r="D296" s="141">
        <v>1231001</v>
      </c>
      <c r="E296" s="141" t="s">
        <v>657</v>
      </c>
      <c r="F296" s="141" t="s">
        <v>794</v>
      </c>
      <c r="G296" s="141" t="s">
        <v>795</v>
      </c>
      <c r="H296" s="141" t="s">
        <v>145</v>
      </c>
      <c r="I296" s="141" t="s">
        <v>796</v>
      </c>
      <c r="J296" s="141" t="s">
        <v>662</v>
      </c>
      <c r="K296" s="141" t="s">
        <v>797</v>
      </c>
      <c r="L296" s="141" t="s">
        <v>51</v>
      </c>
      <c r="M296" s="141" t="s">
        <v>798</v>
      </c>
      <c r="N296" s="141" t="s">
        <v>654</v>
      </c>
      <c r="O296" s="141" t="s">
        <v>799</v>
      </c>
      <c r="P296" s="141"/>
      <c r="Q296"/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  <c r="AB296" s="141"/>
      <c r="AC296"/>
      <c r="AD296"/>
    </row>
    <row r="297" spans="1:30">
      <c r="A297" t="str">
        <f t="shared" si="31"/>
        <v>10-05</v>
      </c>
      <c r="B297" t="str">
        <f t="shared" si="32"/>
        <v>AUD</v>
      </c>
      <c r="C297" s="138" t="s">
        <v>793</v>
      </c>
      <c r="D297" s="138">
        <v>1231005</v>
      </c>
      <c r="E297" s="138" t="s">
        <v>657</v>
      </c>
      <c r="F297" s="138" t="s">
        <v>819</v>
      </c>
      <c r="G297" s="138" t="s">
        <v>820</v>
      </c>
      <c r="H297" s="138" t="s">
        <v>145</v>
      </c>
      <c r="I297" s="138" t="s">
        <v>821</v>
      </c>
      <c r="J297" s="138" t="s">
        <v>662</v>
      </c>
      <c r="K297" s="138" t="s">
        <v>822</v>
      </c>
      <c r="L297" s="138" t="s">
        <v>66</v>
      </c>
      <c r="M297" s="138" t="s">
        <v>823</v>
      </c>
      <c r="N297" s="138" t="s">
        <v>654</v>
      </c>
      <c r="O297" s="138" t="s">
        <v>799</v>
      </c>
      <c r="P297" s="141"/>
      <c r="Q297"/>
      <c r="R297" s="141"/>
      <c r="S297" s="141"/>
      <c r="T297" s="141"/>
      <c r="U297" s="141"/>
      <c r="V297" s="141"/>
      <c r="W297" s="141"/>
      <c r="X297" s="141"/>
      <c r="Y297" s="141"/>
      <c r="Z297" s="141"/>
      <c r="AA297" s="141"/>
      <c r="AB297" s="141"/>
      <c r="AC297"/>
      <c r="AD297"/>
    </row>
    <row r="298" spans="1:30">
      <c r="A298" t="str">
        <f t="shared" si="31"/>
        <v>10-09</v>
      </c>
      <c r="B298" t="str">
        <f t="shared" si="32"/>
        <v>AUD</v>
      </c>
      <c r="C298" s="138" t="s">
        <v>793</v>
      </c>
      <c r="D298" s="138">
        <v>1231009</v>
      </c>
      <c r="E298" s="138" t="s">
        <v>657</v>
      </c>
      <c r="F298" s="138" t="s">
        <v>1075</v>
      </c>
      <c r="G298" s="138" t="s">
        <v>1076</v>
      </c>
      <c r="H298" s="138" t="s">
        <v>145</v>
      </c>
      <c r="I298" s="138" t="s">
        <v>1104</v>
      </c>
      <c r="J298" s="138" t="s">
        <v>662</v>
      </c>
      <c r="K298" s="138" t="s">
        <v>1105</v>
      </c>
      <c r="L298" s="138" t="s">
        <v>51</v>
      </c>
      <c r="M298" s="138" t="s">
        <v>1106</v>
      </c>
      <c r="N298" s="138" t="s">
        <v>654</v>
      </c>
      <c r="O298" s="138" t="s">
        <v>799</v>
      </c>
      <c r="P298" s="141"/>
      <c r="Q298"/>
      <c r="R298" s="141"/>
      <c r="S298" s="141"/>
      <c r="T298" s="141"/>
      <c r="U298" s="141"/>
      <c r="V298" s="141"/>
      <c r="W298" s="141"/>
      <c r="X298" s="141"/>
      <c r="Y298" s="141"/>
      <c r="Z298" s="141"/>
      <c r="AA298" s="141"/>
      <c r="AB298" s="141"/>
      <c r="AC298"/>
      <c r="AD298"/>
    </row>
    <row r="299" spans="1:30">
      <c r="A299" t="str">
        <f t="shared" si="31"/>
        <v>10-09</v>
      </c>
      <c r="B299" t="str">
        <f t="shared" si="32"/>
        <v>AUD</v>
      </c>
      <c r="C299" s="138" t="s">
        <v>793</v>
      </c>
      <c r="D299" s="138">
        <v>1231009</v>
      </c>
      <c r="E299" s="138" t="s">
        <v>657</v>
      </c>
      <c r="F299" s="138" t="s">
        <v>819</v>
      </c>
      <c r="G299" s="138" t="s">
        <v>820</v>
      </c>
      <c r="H299" s="138" t="s">
        <v>145</v>
      </c>
      <c r="I299" s="138" t="s">
        <v>880</v>
      </c>
      <c r="J299" s="138" t="s">
        <v>662</v>
      </c>
      <c r="K299" s="138" t="s">
        <v>881</v>
      </c>
      <c r="L299" s="138" t="s">
        <v>499</v>
      </c>
      <c r="M299" s="138" t="s">
        <v>774</v>
      </c>
      <c r="N299" s="138" t="s">
        <v>654</v>
      </c>
      <c r="O299" s="138" t="s">
        <v>655</v>
      </c>
      <c r="P299" s="141"/>
      <c r="Q299"/>
      <c r="R299" s="141"/>
      <c r="S299" s="141"/>
      <c r="T299" s="141"/>
      <c r="U299" s="141"/>
      <c r="V299" s="141"/>
      <c r="W299" s="141"/>
      <c r="X299" s="141"/>
      <c r="Y299" s="141"/>
      <c r="Z299" s="141"/>
      <c r="AA299" s="141"/>
      <c r="AB299" s="141"/>
      <c r="AC299"/>
      <c r="AD299"/>
    </row>
    <row r="300" spans="1:30">
      <c r="A300" t="str">
        <f t="shared" si="31"/>
        <v>10-09</v>
      </c>
      <c r="B300" t="str">
        <f t="shared" si="32"/>
        <v>AUD</v>
      </c>
      <c r="C300" s="138" t="s">
        <v>793</v>
      </c>
      <c r="D300" s="138">
        <v>1231009</v>
      </c>
      <c r="E300" s="138" t="s">
        <v>657</v>
      </c>
      <c r="F300" s="138" t="s">
        <v>1075</v>
      </c>
      <c r="G300" s="138" t="s">
        <v>1076</v>
      </c>
      <c r="H300" s="138" t="s">
        <v>145</v>
      </c>
      <c r="I300" s="138" t="s">
        <v>1077</v>
      </c>
      <c r="J300" s="138" t="s">
        <v>662</v>
      </c>
      <c r="K300" s="138" t="s">
        <v>1078</v>
      </c>
      <c r="L300" s="138" t="s">
        <v>112</v>
      </c>
      <c r="M300" s="138" t="s">
        <v>1079</v>
      </c>
      <c r="N300" s="138" t="s">
        <v>654</v>
      </c>
      <c r="O300" s="138" t="s">
        <v>665</v>
      </c>
      <c r="P300" s="141"/>
      <c r="Q300"/>
      <c r="R300" s="141"/>
      <c r="S300" s="141"/>
      <c r="T300" s="141"/>
      <c r="U300" s="141"/>
      <c r="V300" s="141"/>
      <c r="W300" s="141"/>
      <c r="X300" s="141"/>
      <c r="Y300" s="141"/>
      <c r="Z300" s="141"/>
      <c r="AA300" s="141"/>
      <c r="AB300" s="141"/>
      <c r="AC300"/>
      <c r="AD300"/>
    </row>
    <row r="301" spans="1:30">
      <c r="A301" t="str">
        <f t="shared" si="31"/>
        <v>10-10</v>
      </c>
      <c r="B301" t="str">
        <f t="shared" si="32"/>
        <v>AUD</v>
      </c>
      <c r="C301" s="138" t="s">
        <v>793</v>
      </c>
      <c r="D301" s="138">
        <v>1231010</v>
      </c>
      <c r="E301" s="138" t="s">
        <v>707</v>
      </c>
      <c r="F301" s="138" t="s">
        <v>1080</v>
      </c>
      <c r="G301" s="138" t="s">
        <v>1081</v>
      </c>
      <c r="H301" s="138" t="s">
        <v>145</v>
      </c>
      <c r="I301" s="138" t="s">
        <v>1082</v>
      </c>
      <c r="J301" s="138" t="s">
        <v>662</v>
      </c>
      <c r="K301" s="138" t="s">
        <v>1083</v>
      </c>
      <c r="L301" s="138" t="s">
        <v>108</v>
      </c>
      <c r="M301" s="138" t="s">
        <v>1084</v>
      </c>
      <c r="N301" s="138" t="s">
        <v>654</v>
      </c>
      <c r="O301" s="138" t="s">
        <v>799</v>
      </c>
      <c r="P301" s="141"/>
      <c r="Q301"/>
      <c r="R301" s="141"/>
      <c r="S301" s="141"/>
      <c r="T301" s="141"/>
      <c r="U301" s="141"/>
      <c r="V301" s="141"/>
      <c r="W301" s="141"/>
      <c r="X301" s="141"/>
      <c r="Y301" s="141"/>
      <c r="Z301" s="141"/>
      <c r="AA301" s="141"/>
      <c r="AB301" s="141"/>
      <c r="AC301"/>
      <c r="AD301"/>
    </row>
    <row r="302" spans="1:30">
      <c r="A302" t="str">
        <f t="shared" ref="A302:A311" si="33">MID(D302,(LEN(D302)-3),2)&amp;"-"&amp;MID(D302,(LEN(D302)-1),2)</f>
        <v>10-10</v>
      </c>
      <c r="B302" t="str">
        <f t="shared" ref="B302:B311" si="34">IF(H302="AU","AUD","USD")</f>
        <v>AUD</v>
      </c>
      <c r="C302" s="138" t="s">
        <v>793</v>
      </c>
      <c r="D302" s="138">
        <v>1231010</v>
      </c>
      <c r="E302" s="138" t="s">
        <v>707</v>
      </c>
      <c r="F302" s="138" t="s">
        <v>1080</v>
      </c>
      <c r="G302" s="138" t="s">
        <v>1081</v>
      </c>
      <c r="H302" s="138" t="s">
        <v>145</v>
      </c>
      <c r="I302" s="138" t="s">
        <v>1085</v>
      </c>
      <c r="J302" s="138" t="s">
        <v>662</v>
      </c>
      <c r="K302" s="138" t="s">
        <v>1086</v>
      </c>
      <c r="L302" s="138" t="s">
        <v>108</v>
      </c>
      <c r="M302" s="138" t="s">
        <v>1084</v>
      </c>
      <c r="N302" s="138" t="s">
        <v>654</v>
      </c>
      <c r="O302" s="138" t="s">
        <v>799</v>
      </c>
      <c r="P302" s="141"/>
      <c r="Q302"/>
      <c r="R302" s="141"/>
      <c r="S302" s="141"/>
      <c r="T302" s="141"/>
      <c r="U302" s="141"/>
      <c r="V302" s="141"/>
      <c r="W302" s="141"/>
      <c r="X302" s="141"/>
      <c r="Y302" s="141"/>
      <c r="Z302" s="141"/>
      <c r="AA302" s="141"/>
      <c r="AB302" s="141"/>
      <c r="AC302"/>
      <c r="AD302"/>
    </row>
    <row r="303" spans="1:30">
      <c r="A303" t="str">
        <f t="shared" si="33"/>
        <v>10-11</v>
      </c>
      <c r="B303" t="str">
        <f t="shared" si="34"/>
        <v>AUD</v>
      </c>
      <c r="C303" s="138" t="s">
        <v>793</v>
      </c>
      <c r="D303" s="138">
        <v>1231011</v>
      </c>
      <c r="E303" s="138" t="s">
        <v>707</v>
      </c>
      <c r="F303" s="138" t="s">
        <v>1087</v>
      </c>
      <c r="G303" s="138" t="s">
        <v>1088</v>
      </c>
      <c r="H303" s="138" t="s">
        <v>145</v>
      </c>
      <c r="I303" s="138" t="s">
        <v>1089</v>
      </c>
      <c r="J303" s="138" t="s">
        <v>662</v>
      </c>
      <c r="K303" s="138" t="s">
        <v>1090</v>
      </c>
      <c r="L303" s="138" t="s">
        <v>86</v>
      </c>
      <c r="M303" s="138" t="s">
        <v>1091</v>
      </c>
      <c r="N303" s="138" t="s">
        <v>654</v>
      </c>
      <c r="O303" s="138" t="s">
        <v>799</v>
      </c>
      <c r="P303" s="141"/>
      <c r="Q303"/>
      <c r="R303" s="141"/>
      <c r="S303" s="141"/>
      <c r="T303" s="141"/>
      <c r="U303" s="141"/>
      <c r="V303" s="141"/>
      <c r="W303" s="141"/>
      <c r="X303" s="141"/>
      <c r="Y303" s="141"/>
      <c r="Z303" s="141"/>
      <c r="AA303" s="141"/>
      <c r="AB303" s="141"/>
      <c r="AC303"/>
      <c r="AD303"/>
    </row>
    <row r="304" spans="1:30">
      <c r="A304" t="str">
        <f t="shared" si="33"/>
        <v>10-11</v>
      </c>
      <c r="B304" t="str">
        <f t="shared" si="34"/>
        <v>AUD</v>
      </c>
      <c r="C304" s="138" t="s">
        <v>793</v>
      </c>
      <c r="D304" s="138">
        <v>1231011</v>
      </c>
      <c r="E304" s="138" t="s">
        <v>707</v>
      </c>
      <c r="F304" s="138" t="s">
        <v>1087</v>
      </c>
      <c r="G304" s="138" t="s">
        <v>1088</v>
      </c>
      <c r="H304" s="138" t="s">
        <v>145</v>
      </c>
      <c r="I304" s="138" t="s">
        <v>1092</v>
      </c>
      <c r="J304" s="138" t="s">
        <v>662</v>
      </c>
      <c r="K304" s="138" t="s">
        <v>1093</v>
      </c>
      <c r="L304" s="138" t="s">
        <v>62</v>
      </c>
      <c r="M304" s="138" t="s">
        <v>1094</v>
      </c>
      <c r="N304" s="138" t="s">
        <v>654</v>
      </c>
      <c r="O304" s="138" t="s">
        <v>799</v>
      </c>
      <c r="P304" s="141"/>
      <c r="Q304"/>
      <c r="R304" s="141"/>
      <c r="S304" s="141"/>
      <c r="T304" s="141"/>
      <c r="U304" s="141"/>
      <c r="V304" s="141"/>
      <c r="W304" s="141"/>
      <c r="X304" s="141"/>
      <c r="Y304" s="141"/>
      <c r="Z304" s="141"/>
      <c r="AA304" s="141"/>
      <c r="AB304" s="141"/>
      <c r="AC304"/>
      <c r="AD304"/>
    </row>
    <row r="305" spans="1:30">
      <c r="A305" t="str">
        <f t="shared" si="33"/>
        <v>10-11</v>
      </c>
      <c r="B305" t="str">
        <f t="shared" si="34"/>
        <v>AUD</v>
      </c>
      <c r="C305" s="138" t="s">
        <v>793</v>
      </c>
      <c r="D305" s="138">
        <v>1231011</v>
      </c>
      <c r="E305" s="138" t="s">
        <v>707</v>
      </c>
      <c r="F305" s="138" t="s">
        <v>1087</v>
      </c>
      <c r="G305" s="138" t="s">
        <v>1088</v>
      </c>
      <c r="H305" s="138" t="s">
        <v>145</v>
      </c>
      <c r="I305" s="138" t="s">
        <v>1095</v>
      </c>
      <c r="J305" s="138" t="s">
        <v>662</v>
      </c>
      <c r="K305" s="138" t="s">
        <v>1096</v>
      </c>
      <c r="L305" s="138" t="s">
        <v>62</v>
      </c>
      <c r="M305" s="138" t="s">
        <v>1097</v>
      </c>
      <c r="N305" s="138" t="s">
        <v>654</v>
      </c>
      <c r="O305" s="138" t="s">
        <v>799</v>
      </c>
      <c r="P305" s="141"/>
      <c r="Q305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/>
      <c r="AD305"/>
    </row>
    <row r="306" spans="1:30">
      <c r="A306" t="str">
        <f t="shared" si="33"/>
        <v>10-16</v>
      </c>
      <c r="B306" t="str">
        <f t="shared" si="34"/>
        <v>USD</v>
      </c>
      <c r="C306" s="138" t="s">
        <v>793</v>
      </c>
      <c r="D306" s="138">
        <v>1231016</v>
      </c>
      <c r="E306" s="138" t="s">
        <v>657</v>
      </c>
      <c r="F306" s="138" t="s">
        <v>1098</v>
      </c>
      <c r="G306" s="138" t="s">
        <v>1099</v>
      </c>
      <c r="H306" s="138" t="s">
        <v>1100</v>
      </c>
      <c r="I306" s="138" t="s">
        <v>1101</v>
      </c>
      <c r="J306" s="138" t="s">
        <v>662</v>
      </c>
      <c r="K306" s="138" t="s">
        <v>1102</v>
      </c>
      <c r="L306" s="138" t="s">
        <v>95</v>
      </c>
      <c r="M306" s="138" t="s">
        <v>1103</v>
      </c>
      <c r="N306" s="138" t="s">
        <v>654</v>
      </c>
      <c r="O306" s="138" t="s">
        <v>665</v>
      </c>
      <c r="P306" s="141"/>
      <c r="Q306"/>
      <c r="R306" s="141"/>
      <c r="S306" s="141"/>
      <c r="T306" s="141"/>
      <c r="U306" s="141"/>
      <c r="V306" s="141"/>
      <c r="W306" s="141"/>
      <c r="X306" s="141"/>
      <c r="Y306" s="141"/>
      <c r="Z306" s="141"/>
      <c r="AA306" s="141"/>
      <c r="AB306" s="141"/>
      <c r="AC306"/>
      <c r="AD306"/>
    </row>
    <row r="307" spans="1:30">
      <c r="A307" t="str">
        <f t="shared" si="33"/>
        <v>10-17</v>
      </c>
      <c r="B307" t="str">
        <f t="shared" si="34"/>
        <v>AUD</v>
      </c>
      <c r="C307" s="141" t="s">
        <v>793</v>
      </c>
      <c r="D307" s="141">
        <v>1231017</v>
      </c>
      <c r="E307" s="141" t="s">
        <v>657</v>
      </c>
      <c r="F307" s="141" t="s">
        <v>819</v>
      </c>
      <c r="G307" s="141" t="s">
        <v>820</v>
      </c>
      <c r="H307" s="141" t="s">
        <v>145</v>
      </c>
      <c r="I307" s="141" t="s">
        <v>1113</v>
      </c>
      <c r="J307" s="141" t="s">
        <v>662</v>
      </c>
      <c r="K307" s="141" t="s">
        <v>1114</v>
      </c>
      <c r="L307" s="141" t="s">
        <v>499</v>
      </c>
      <c r="M307" s="141" t="s">
        <v>1115</v>
      </c>
      <c r="N307" s="141" t="s">
        <v>654</v>
      </c>
      <c r="O307" s="141" t="s">
        <v>655</v>
      </c>
      <c r="P307" s="141"/>
      <c r="Q307"/>
      <c r="R307" s="141"/>
      <c r="S307" s="141"/>
      <c r="T307" s="141"/>
      <c r="U307" s="141"/>
      <c r="V307" s="141"/>
      <c r="W307" s="141"/>
      <c r="X307" s="141"/>
      <c r="Y307" s="141"/>
      <c r="Z307" s="141"/>
      <c r="AA307" s="141"/>
      <c r="AB307" s="141"/>
      <c r="AC307"/>
      <c r="AD307"/>
    </row>
    <row r="308" spans="1:30">
      <c r="A308" t="str">
        <f t="shared" si="33"/>
        <v>10-18</v>
      </c>
      <c r="B308" t="str">
        <f t="shared" si="34"/>
        <v>AUD</v>
      </c>
      <c r="C308" s="141" t="s">
        <v>793</v>
      </c>
      <c r="D308" s="141">
        <v>1231018</v>
      </c>
      <c r="E308" s="141" t="s">
        <v>657</v>
      </c>
      <c r="F308" s="141" t="s">
        <v>1075</v>
      </c>
      <c r="G308" s="141" t="s">
        <v>1076</v>
      </c>
      <c r="H308" s="141" t="s">
        <v>145</v>
      </c>
      <c r="I308" s="141" t="s">
        <v>1116</v>
      </c>
      <c r="J308" s="141" t="s">
        <v>662</v>
      </c>
      <c r="K308" s="141" t="s">
        <v>1117</v>
      </c>
      <c r="L308" s="141" t="s">
        <v>106</v>
      </c>
      <c r="M308" s="141" t="s">
        <v>1118</v>
      </c>
      <c r="N308" s="141" t="s">
        <v>654</v>
      </c>
      <c r="O308" s="141" t="s">
        <v>799</v>
      </c>
      <c r="P308" s="141"/>
      <c r="Q308"/>
      <c r="R308" s="141"/>
      <c r="S308" s="141"/>
      <c r="T308" s="141"/>
      <c r="U308" s="141"/>
      <c r="V308" s="141"/>
      <c r="W308" s="141"/>
      <c r="X308" s="141"/>
      <c r="Y308" s="141"/>
      <c r="Z308" s="141"/>
      <c r="AA308" s="141"/>
      <c r="AB308" s="141"/>
      <c r="AC308"/>
      <c r="AD308"/>
    </row>
    <row r="309" spans="1:30">
      <c r="A309" t="str">
        <f t="shared" si="33"/>
        <v>10-18</v>
      </c>
      <c r="B309" t="str">
        <f t="shared" si="34"/>
        <v>AUD</v>
      </c>
      <c r="C309" s="141" t="s">
        <v>793</v>
      </c>
      <c r="D309" s="141">
        <v>1231018</v>
      </c>
      <c r="E309" s="141" t="s">
        <v>657</v>
      </c>
      <c r="F309" s="141" t="s">
        <v>1075</v>
      </c>
      <c r="G309" s="141" t="s">
        <v>1076</v>
      </c>
      <c r="H309" s="141" t="s">
        <v>145</v>
      </c>
      <c r="I309" s="141" t="s">
        <v>1119</v>
      </c>
      <c r="J309" s="141" t="s">
        <v>662</v>
      </c>
      <c r="K309" s="141" t="s">
        <v>1120</v>
      </c>
      <c r="L309" s="141" t="s">
        <v>106</v>
      </c>
      <c r="M309" s="141" t="s">
        <v>1118</v>
      </c>
      <c r="N309" s="141" t="s">
        <v>654</v>
      </c>
      <c r="O309" s="141" t="s">
        <v>799</v>
      </c>
      <c r="P309" s="141"/>
      <c r="Q309"/>
      <c r="R309" s="141"/>
      <c r="S309" s="141"/>
      <c r="T309" s="141"/>
      <c r="U309" s="141"/>
      <c r="V309" s="141"/>
      <c r="W309" s="141"/>
      <c r="X309" s="141"/>
      <c r="Y309" s="141"/>
      <c r="Z309" s="141"/>
      <c r="AA309" s="141"/>
      <c r="AB309" s="141"/>
      <c r="AC309"/>
      <c r="AD309"/>
    </row>
    <row r="310" spans="1:30">
      <c r="A310" t="str">
        <f t="shared" si="33"/>
        <v>10-19</v>
      </c>
      <c r="B310" t="str">
        <f t="shared" si="34"/>
        <v>AUD</v>
      </c>
      <c r="C310" s="141" t="s">
        <v>793</v>
      </c>
      <c r="D310" s="141">
        <v>1231019</v>
      </c>
      <c r="E310" s="141" t="s">
        <v>657</v>
      </c>
      <c r="F310" s="141" t="s">
        <v>819</v>
      </c>
      <c r="G310" s="141" t="s">
        <v>820</v>
      </c>
      <c r="H310" s="141" t="s">
        <v>145</v>
      </c>
      <c r="I310" s="141" t="s">
        <v>1199</v>
      </c>
      <c r="J310" s="141" t="s">
        <v>662</v>
      </c>
      <c r="K310" s="141" t="s">
        <v>1200</v>
      </c>
      <c r="L310" s="141" t="s">
        <v>372</v>
      </c>
      <c r="M310" s="141" t="s">
        <v>1201</v>
      </c>
      <c r="N310" s="141" t="s">
        <v>654</v>
      </c>
      <c r="O310" s="141" t="s">
        <v>799</v>
      </c>
      <c r="P310" s="141"/>
      <c r="Q310"/>
      <c r="R310" s="141"/>
      <c r="S310" s="141"/>
      <c r="T310" s="141"/>
      <c r="U310" s="141"/>
      <c r="V310" s="141"/>
      <c r="W310" s="141"/>
      <c r="X310" s="141"/>
      <c r="Y310" s="141"/>
      <c r="Z310" s="141"/>
      <c r="AA310" s="141"/>
      <c r="AB310" s="141"/>
      <c r="AC310"/>
      <c r="AD310"/>
    </row>
    <row r="311" spans="1:30">
      <c r="A311" t="str">
        <f t="shared" si="33"/>
        <v>10-19</v>
      </c>
      <c r="B311" t="str">
        <f t="shared" si="34"/>
        <v>AUD</v>
      </c>
      <c r="C311" s="141" t="s">
        <v>793</v>
      </c>
      <c r="D311" s="141">
        <v>1231019</v>
      </c>
      <c r="E311" s="141" t="s">
        <v>707</v>
      </c>
      <c r="F311" s="141" t="s">
        <v>1080</v>
      </c>
      <c r="G311" s="141" t="s">
        <v>1081</v>
      </c>
      <c r="H311" s="141" t="s">
        <v>145</v>
      </c>
      <c r="I311" s="141" t="s">
        <v>1134</v>
      </c>
      <c r="J311" s="141" t="s">
        <v>662</v>
      </c>
      <c r="K311" s="141" t="s">
        <v>1135</v>
      </c>
      <c r="L311" s="141" t="s">
        <v>62</v>
      </c>
      <c r="M311" s="141" t="s">
        <v>1094</v>
      </c>
      <c r="N311" s="141" t="s">
        <v>654</v>
      </c>
      <c r="O311" s="141" t="s">
        <v>799</v>
      </c>
      <c r="P311" s="141"/>
      <c r="Q311"/>
      <c r="R311" s="141"/>
      <c r="S311" s="141"/>
      <c r="T311" s="141"/>
      <c r="U311" s="141"/>
      <c r="V311" s="141"/>
      <c r="W311" s="141"/>
      <c r="X311" s="141"/>
      <c r="Y311" s="141"/>
      <c r="Z311" s="141"/>
      <c r="AA311" s="141"/>
      <c r="AB311" s="141"/>
      <c r="AC311"/>
      <c r="AD311"/>
    </row>
    <row r="312" spans="1:30">
      <c r="A312" t="str">
        <f t="shared" ref="A312:A321" si="35">MID(D312,(LEN(D312)-3),2)&amp;"-"&amp;MID(D312,(LEN(D312)-1),2)</f>
        <v>10-19</v>
      </c>
      <c r="B312" t="str">
        <f t="shared" ref="B312:B321" si="36">IF(H312="AU","AUD","USD")</f>
        <v>AUD</v>
      </c>
      <c r="C312" s="141" t="s">
        <v>793</v>
      </c>
      <c r="D312" s="141">
        <v>1231019</v>
      </c>
      <c r="E312" s="141" t="s">
        <v>657</v>
      </c>
      <c r="F312" s="141" t="s">
        <v>1136</v>
      </c>
      <c r="G312" s="141" t="s">
        <v>1137</v>
      </c>
      <c r="H312" s="141" t="s">
        <v>145</v>
      </c>
      <c r="I312" s="141" t="s">
        <v>1138</v>
      </c>
      <c r="J312" s="141" t="s">
        <v>662</v>
      </c>
      <c r="K312" s="141" t="s">
        <v>1139</v>
      </c>
      <c r="L312" s="141" t="s">
        <v>66</v>
      </c>
      <c r="M312" s="141" t="s">
        <v>823</v>
      </c>
      <c r="N312" s="141" t="s">
        <v>654</v>
      </c>
      <c r="O312" s="141" t="s">
        <v>799</v>
      </c>
      <c r="P312" s="141"/>
      <c r="Q312"/>
      <c r="R312" s="141"/>
      <c r="S312" s="141"/>
      <c r="T312" s="141"/>
      <c r="U312" s="141"/>
      <c r="V312" s="141"/>
      <c r="W312" s="141"/>
      <c r="X312" s="141"/>
      <c r="Y312" s="141"/>
      <c r="Z312" s="141"/>
      <c r="AA312" s="141"/>
      <c r="AB312" s="141"/>
      <c r="AC312"/>
      <c r="AD312"/>
    </row>
    <row r="313" spans="1:30">
      <c r="A313" t="str">
        <f t="shared" si="35"/>
        <v>10-19</v>
      </c>
      <c r="B313" t="str">
        <f t="shared" si="36"/>
        <v>AUD</v>
      </c>
      <c r="C313" s="141" t="s">
        <v>793</v>
      </c>
      <c r="D313" s="141">
        <v>1231019</v>
      </c>
      <c r="E313" s="141" t="s">
        <v>657</v>
      </c>
      <c r="F313" s="141" t="s">
        <v>1136</v>
      </c>
      <c r="G313" s="141" t="s">
        <v>1137</v>
      </c>
      <c r="H313" s="141" t="s">
        <v>145</v>
      </c>
      <c r="I313" s="141" t="s">
        <v>1140</v>
      </c>
      <c r="J313" s="141" t="s">
        <v>662</v>
      </c>
      <c r="K313" s="141" t="s">
        <v>1141</v>
      </c>
      <c r="L313" s="141" t="s">
        <v>66</v>
      </c>
      <c r="M313" s="141" t="s">
        <v>823</v>
      </c>
      <c r="N313" s="141" t="s">
        <v>654</v>
      </c>
      <c r="O313" s="141" t="s">
        <v>799</v>
      </c>
      <c r="P313" s="141"/>
      <c r="Q313"/>
      <c r="R313" s="141"/>
      <c r="S313" s="141"/>
      <c r="T313" s="141"/>
      <c r="U313" s="141"/>
      <c r="V313" s="141"/>
      <c r="W313" s="141"/>
      <c r="X313" s="141"/>
      <c r="Y313" s="141"/>
      <c r="Z313" s="141"/>
      <c r="AA313" s="141"/>
      <c r="AB313" s="141"/>
      <c r="AC313"/>
      <c r="AD313"/>
    </row>
    <row r="314" spans="1:30">
      <c r="A314" t="str">
        <f t="shared" si="35"/>
        <v>10-19</v>
      </c>
      <c r="B314" t="str">
        <f t="shared" si="36"/>
        <v>AUD</v>
      </c>
      <c r="C314" s="141" t="s">
        <v>793</v>
      </c>
      <c r="D314" s="141">
        <v>1231019</v>
      </c>
      <c r="E314" s="141" t="s">
        <v>657</v>
      </c>
      <c r="F314" s="141" t="s">
        <v>1136</v>
      </c>
      <c r="G314" s="141" t="s">
        <v>1137</v>
      </c>
      <c r="H314" s="141" t="s">
        <v>145</v>
      </c>
      <c r="I314" s="141" t="s">
        <v>1142</v>
      </c>
      <c r="J314" s="141" t="s">
        <v>662</v>
      </c>
      <c r="K314" s="141" t="s">
        <v>1143</v>
      </c>
      <c r="L314" s="141" t="s">
        <v>66</v>
      </c>
      <c r="M314" s="141" t="s">
        <v>823</v>
      </c>
      <c r="N314" s="141" t="s">
        <v>654</v>
      </c>
      <c r="O314" s="141" t="s">
        <v>799</v>
      </c>
      <c r="P314" s="141"/>
      <c r="Q314"/>
      <c r="R314" s="141"/>
      <c r="S314" s="141"/>
      <c r="T314" s="141"/>
      <c r="U314" s="141"/>
      <c r="V314" s="141"/>
      <c r="W314" s="141"/>
      <c r="X314" s="141"/>
      <c r="Y314" s="141"/>
      <c r="Z314" s="141"/>
      <c r="AA314" s="141"/>
      <c r="AB314" s="141"/>
      <c r="AC314"/>
      <c r="AD314"/>
    </row>
    <row r="315" spans="1:30">
      <c r="A315" t="str">
        <f t="shared" si="35"/>
        <v>10-19</v>
      </c>
      <c r="B315" t="str">
        <f t="shared" si="36"/>
        <v>AUD</v>
      </c>
      <c r="C315" s="141" t="s">
        <v>793</v>
      </c>
      <c r="D315" s="141">
        <v>1231019</v>
      </c>
      <c r="E315" s="141" t="s">
        <v>657</v>
      </c>
      <c r="F315" s="141" t="s">
        <v>1136</v>
      </c>
      <c r="G315" s="141" t="s">
        <v>1137</v>
      </c>
      <c r="H315" s="141" t="s">
        <v>145</v>
      </c>
      <c r="I315" s="141" t="s">
        <v>1144</v>
      </c>
      <c r="J315" s="141" t="s">
        <v>662</v>
      </c>
      <c r="K315" s="141" t="s">
        <v>1145</v>
      </c>
      <c r="L315" s="141" t="s">
        <v>66</v>
      </c>
      <c r="M315" s="141" t="s">
        <v>823</v>
      </c>
      <c r="N315" s="141" t="s">
        <v>654</v>
      </c>
      <c r="O315" s="141" t="s">
        <v>799</v>
      </c>
      <c r="P315" s="141"/>
      <c r="Q315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/>
      <c r="AD315"/>
    </row>
    <row r="316" spans="1:30">
      <c r="A316" t="str">
        <f>MID(D316,(LEN(D316)-3),2)&amp;"-"&amp;MID(D316,(LEN(D316)-1),2)</f>
        <v>10-19</v>
      </c>
      <c r="B316" t="str">
        <f>IF(H316="AU","AUD","USD")</f>
        <v>AUD</v>
      </c>
      <c r="C316" s="141" t="s">
        <v>793</v>
      </c>
      <c r="D316" s="141">
        <v>1231019</v>
      </c>
      <c r="E316" s="141" t="s">
        <v>657</v>
      </c>
      <c r="F316" s="141" t="s">
        <v>1136</v>
      </c>
      <c r="G316" s="141" t="s">
        <v>1137</v>
      </c>
      <c r="H316" s="141" t="s">
        <v>145</v>
      </c>
      <c r="I316" s="141" t="s">
        <v>1146</v>
      </c>
      <c r="J316" s="141" t="s">
        <v>662</v>
      </c>
      <c r="K316" s="141" t="s">
        <v>1147</v>
      </c>
      <c r="L316" s="141" t="s">
        <v>165</v>
      </c>
      <c r="M316" s="141" t="s">
        <v>1148</v>
      </c>
      <c r="N316" s="141" t="s">
        <v>654</v>
      </c>
      <c r="O316" s="141" t="s">
        <v>799</v>
      </c>
      <c r="P316" s="141"/>
      <c r="Q316"/>
      <c r="R316" s="141"/>
      <c r="S316" s="141"/>
      <c r="T316" s="141"/>
      <c r="U316" s="141"/>
      <c r="V316" s="141"/>
      <c r="W316" s="141"/>
      <c r="X316" s="141"/>
      <c r="Y316" s="141"/>
      <c r="Z316" s="141"/>
      <c r="AA316" s="141"/>
      <c r="AB316" s="141"/>
      <c r="AC316"/>
      <c r="AD316"/>
    </row>
    <row r="317" spans="1:30">
      <c r="A317" t="str">
        <f t="shared" si="35"/>
        <v>10-19</v>
      </c>
      <c r="B317" t="str">
        <f t="shared" si="36"/>
        <v>AUD</v>
      </c>
      <c r="C317" s="141" t="s">
        <v>793</v>
      </c>
      <c r="D317" s="141">
        <v>1231019</v>
      </c>
      <c r="E317" s="141" t="s">
        <v>707</v>
      </c>
      <c r="F317" s="141" t="s">
        <v>1087</v>
      </c>
      <c r="G317" s="141" t="s">
        <v>1088</v>
      </c>
      <c r="H317" s="141" t="s">
        <v>145</v>
      </c>
      <c r="I317" s="141" t="s">
        <v>1131</v>
      </c>
      <c r="J317" s="141" t="s">
        <v>662</v>
      </c>
      <c r="K317" s="141" t="s">
        <v>1132</v>
      </c>
      <c r="L317" s="141" t="s">
        <v>370</v>
      </c>
      <c r="M317" s="141" t="s">
        <v>1133</v>
      </c>
      <c r="N317" s="141" t="s">
        <v>654</v>
      </c>
      <c r="O317" s="141" t="s">
        <v>799</v>
      </c>
      <c r="P317" s="141"/>
      <c r="Q317"/>
      <c r="R317" s="141"/>
      <c r="S317" s="141"/>
      <c r="T317" s="141"/>
      <c r="U317" s="141"/>
      <c r="V317" s="141"/>
      <c r="W317" s="141"/>
      <c r="X317" s="141"/>
      <c r="Y317" s="141"/>
      <c r="Z317" s="141"/>
      <c r="AA317" s="141"/>
      <c r="AB317" s="141"/>
      <c r="AC317"/>
      <c r="AD317"/>
    </row>
    <row r="318" spans="1:30">
      <c r="A318" t="str">
        <f t="shared" si="35"/>
        <v>10-19</v>
      </c>
      <c r="B318" t="str">
        <f t="shared" si="36"/>
        <v>USD</v>
      </c>
      <c r="C318" s="141" t="s">
        <v>793</v>
      </c>
      <c r="D318" s="141">
        <v>1231019</v>
      </c>
      <c r="E318" s="141" t="s">
        <v>707</v>
      </c>
      <c r="F318" s="141" t="s">
        <v>1161</v>
      </c>
      <c r="G318" s="141" t="s">
        <v>1162</v>
      </c>
      <c r="H318" s="141" t="s">
        <v>1100</v>
      </c>
      <c r="I318" s="141" t="s">
        <v>1163</v>
      </c>
      <c r="J318" s="141" t="s">
        <v>662</v>
      </c>
      <c r="K318" s="141" t="s">
        <v>1164</v>
      </c>
      <c r="L318" s="141" t="s">
        <v>76</v>
      </c>
      <c r="M318" s="141" t="s">
        <v>804</v>
      </c>
      <c r="N318" s="141" t="s">
        <v>654</v>
      </c>
      <c r="O318" s="141" t="s">
        <v>655</v>
      </c>
      <c r="P318" s="141"/>
      <c r="Q318"/>
      <c r="R318" s="141"/>
      <c r="S318" s="141"/>
      <c r="T318" s="141"/>
      <c r="U318" s="141"/>
      <c r="V318" s="141"/>
      <c r="W318" s="141"/>
      <c r="X318" s="141"/>
      <c r="Y318" s="141"/>
      <c r="Z318" s="141"/>
      <c r="AA318" s="141"/>
      <c r="AB318" s="141"/>
      <c r="AC318"/>
      <c r="AD318"/>
    </row>
    <row r="319" spans="1:30">
      <c r="A319" t="str">
        <f t="shared" si="35"/>
        <v>10-19</v>
      </c>
      <c r="B319" t="str">
        <f t="shared" si="36"/>
        <v>USD</v>
      </c>
      <c r="C319" s="141" t="s">
        <v>793</v>
      </c>
      <c r="D319" s="141">
        <v>1231019</v>
      </c>
      <c r="E319" s="141" t="s">
        <v>707</v>
      </c>
      <c r="F319" s="141" t="s">
        <v>1161</v>
      </c>
      <c r="G319" s="141" t="s">
        <v>1162</v>
      </c>
      <c r="H319" s="141" t="s">
        <v>1100</v>
      </c>
      <c r="I319" s="141" t="s">
        <v>1197</v>
      </c>
      <c r="J319" s="141" t="s">
        <v>662</v>
      </c>
      <c r="K319" s="141" t="s">
        <v>1198</v>
      </c>
      <c r="L319" s="141" t="s">
        <v>107</v>
      </c>
      <c r="M319" s="141" t="s">
        <v>1194</v>
      </c>
      <c r="N319" s="141" t="s">
        <v>654</v>
      </c>
      <c r="O319" s="141" t="s">
        <v>665</v>
      </c>
      <c r="P319" s="141"/>
      <c r="Q319"/>
      <c r="R319" s="141"/>
      <c r="S319" s="141"/>
      <c r="T319" s="141"/>
      <c r="U319" s="141"/>
      <c r="V319" s="141"/>
      <c r="W319" s="141"/>
      <c r="X319" s="141"/>
      <c r="Y319" s="141"/>
      <c r="Z319" s="141"/>
      <c r="AA319" s="141"/>
      <c r="AB319" s="141"/>
      <c r="AC319"/>
      <c r="AD319"/>
    </row>
    <row r="320" spans="1:30">
      <c r="A320" t="str">
        <f t="shared" si="35"/>
        <v>10-19</v>
      </c>
      <c r="B320" t="str">
        <f t="shared" si="36"/>
        <v>USD</v>
      </c>
      <c r="C320" s="141" t="s">
        <v>793</v>
      </c>
      <c r="D320" s="141">
        <v>1231019</v>
      </c>
      <c r="E320" s="141" t="s">
        <v>707</v>
      </c>
      <c r="F320" s="141" t="s">
        <v>1161</v>
      </c>
      <c r="G320" s="141" t="s">
        <v>1162</v>
      </c>
      <c r="H320" s="141" t="s">
        <v>1100</v>
      </c>
      <c r="I320" s="141" t="s">
        <v>1195</v>
      </c>
      <c r="J320" s="141" t="s">
        <v>662</v>
      </c>
      <c r="K320" s="141" t="s">
        <v>1196</v>
      </c>
      <c r="L320" s="141" t="s">
        <v>107</v>
      </c>
      <c r="M320" s="141" t="s">
        <v>1194</v>
      </c>
      <c r="N320" s="141" t="s">
        <v>654</v>
      </c>
      <c r="O320" s="141" t="s">
        <v>665</v>
      </c>
      <c r="P320" s="141"/>
      <c r="Q320"/>
      <c r="R320" s="141"/>
      <c r="S320" s="141"/>
      <c r="T320" s="141"/>
      <c r="U320" s="141"/>
      <c r="V320" s="141"/>
      <c r="W320" s="141"/>
      <c r="X320" s="141"/>
      <c r="Y320" s="141"/>
      <c r="Z320" s="141"/>
      <c r="AA320" s="141"/>
      <c r="AB320" s="141"/>
      <c r="AC320"/>
      <c r="AD320"/>
    </row>
    <row r="321" spans="1:30">
      <c r="A321" t="str">
        <f t="shared" si="35"/>
        <v>10-19</v>
      </c>
      <c r="B321" t="str">
        <f t="shared" si="36"/>
        <v>USD</v>
      </c>
      <c r="C321" s="141" t="s">
        <v>793</v>
      </c>
      <c r="D321" s="141">
        <v>1231019</v>
      </c>
      <c r="E321" s="141" t="s">
        <v>707</v>
      </c>
      <c r="F321" s="141" t="s">
        <v>1161</v>
      </c>
      <c r="G321" s="141" t="s">
        <v>1162</v>
      </c>
      <c r="H321" s="141" t="s">
        <v>1100</v>
      </c>
      <c r="I321" s="141" t="s">
        <v>1192</v>
      </c>
      <c r="J321" s="141" t="s">
        <v>662</v>
      </c>
      <c r="K321" s="141" t="s">
        <v>1193</v>
      </c>
      <c r="L321" s="141" t="s">
        <v>107</v>
      </c>
      <c r="M321" s="141" t="s">
        <v>1194</v>
      </c>
      <c r="N321" s="141" t="s">
        <v>654</v>
      </c>
      <c r="O321" s="141" t="s">
        <v>665</v>
      </c>
      <c r="P321" s="141"/>
      <c r="Q321"/>
      <c r="R321" s="141"/>
      <c r="S321" s="141"/>
      <c r="T321" s="141"/>
      <c r="U321" s="141"/>
      <c r="V321" s="141"/>
      <c r="W321" s="141"/>
      <c r="X321" s="141"/>
      <c r="Y321" s="141"/>
      <c r="Z321" s="141"/>
      <c r="AA321" s="141"/>
      <c r="AB321" s="141"/>
      <c r="AC321"/>
      <c r="AD321"/>
    </row>
    <row r="322" spans="1:30">
      <c r="A322" t="str">
        <f t="shared" ref="A322:A385" si="37">MID(D322,(LEN(D322)-3),2)&amp;"-"&amp;MID(D322,(LEN(D322)-1),2)</f>
        <v>10-19</v>
      </c>
      <c r="B322" t="str">
        <f t="shared" ref="B322:B385" si="38">IF(H322="AU","AUD","USD")</f>
        <v>USD</v>
      </c>
      <c r="C322" s="141" t="s">
        <v>793</v>
      </c>
      <c r="D322" s="141">
        <v>1231019</v>
      </c>
      <c r="E322" s="141" t="s">
        <v>707</v>
      </c>
      <c r="F322" s="141" t="s">
        <v>1161</v>
      </c>
      <c r="G322" s="141" t="s">
        <v>1162</v>
      </c>
      <c r="H322" s="141" t="s">
        <v>1100</v>
      </c>
      <c r="I322" s="141" t="s">
        <v>1189</v>
      </c>
      <c r="J322" s="141" t="s">
        <v>662</v>
      </c>
      <c r="K322" s="141" t="s">
        <v>1190</v>
      </c>
      <c r="L322" s="141" t="s">
        <v>55</v>
      </c>
      <c r="M322" s="141" t="s">
        <v>1191</v>
      </c>
      <c r="N322" s="141" t="s">
        <v>654</v>
      </c>
      <c r="O322" s="141" t="s">
        <v>665</v>
      </c>
      <c r="P322" s="141"/>
      <c r="Q322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  <c r="AB322" s="141"/>
      <c r="AC322"/>
      <c r="AD322"/>
    </row>
    <row r="323" spans="1:30">
      <c r="A323" t="str">
        <f t="shared" si="37"/>
        <v>10-19</v>
      </c>
      <c r="B323" t="str">
        <f t="shared" si="38"/>
        <v>USD</v>
      </c>
      <c r="C323" s="141" t="s">
        <v>793</v>
      </c>
      <c r="D323" s="141">
        <v>1231019</v>
      </c>
      <c r="E323" s="141" t="s">
        <v>707</v>
      </c>
      <c r="F323" s="141" t="s">
        <v>1161</v>
      </c>
      <c r="G323" s="141" t="s">
        <v>1162</v>
      </c>
      <c r="H323" s="141" t="s">
        <v>1100</v>
      </c>
      <c r="I323" s="141" t="s">
        <v>1187</v>
      </c>
      <c r="J323" s="141" t="s">
        <v>662</v>
      </c>
      <c r="K323" s="141" t="s">
        <v>1188</v>
      </c>
      <c r="L323" s="141" t="s">
        <v>55</v>
      </c>
      <c r="M323" s="141" t="s">
        <v>1174</v>
      </c>
      <c r="N323" s="141" t="s">
        <v>654</v>
      </c>
      <c r="O323" s="141" t="s">
        <v>665</v>
      </c>
      <c r="P323" s="141"/>
      <c r="Q323"/>
      <c r="R323" s="141"/>
      <c r="S323" s="141"/>
      <c r="T323" s="141"/>
      <c r="U323" s="141"/>
      <c r="V323" s="141"/>
      <c r="W323" s="141"/>
      <c r="X323" s="141"/>
      <c r="Y323" s="141"/>
      <c r="Z323" s="141"/>
      <c r="AA323" s="141"/>
      <c r="AB323" s="141"/>
      <c r="AC323"/>
      <c r="AD323"/>
    </row>
    <row r="324" spans="1:30">
      <c r="A324" t="str">
        <f t="shared" si="37"/>
        <v>10-19</v>
      </c>
      <c r="B324" t="str">
        <f t="shared" si="38"/>
        <v>USD</v>
      </c>
      <c r="C324" s="141" t="s">
        <v>793</v>
      </c>
      <c r="D324" s="141">
        <v>1231019</v>
      </c>
      <c r="E324" s="141" t="s">
        <v>707</v>
      </c>
      <c r="F324" s="141" t="s">
        <v>1161</v>
      </c>
      <c r="G324" s="141" t="s">
        <v>1162</v>
      </c>
      <c r="H324" s="141" t="s">
        <v>1100</v>
      </c>
      <c r="I324" s="141" t="s">
        <v>1185</v>
      </c>
      <c r="J324" s="141" t="s">
        <v>662</v>
      </c>
      <c r="K324" s="141" t="s">
        <v>1186</v>
      </c>
      <c r="L324" s="141" t="s">
        <v>55</v>
      </c>
      <c r="M324" s="141" t="s">
        <v>1174</v>
      </c>
      <c r="N324" s="141" t="s">
        <v>654</v>
      </c>
      <c r="O324" s="141" t="s">
        <v>665</v>
      </c>
      <c r="P324" s="141"/>
      <c r="Q324"/>
      <c r="R324" s="141"/>
      <c r="S324" s="141"/>
      <c r="T324" s="141"/>
      <c r="U324" s="141"/>
      <c r="V324" s="141"/>
      <c r="W324" s="141"/>
      <c r="X324" s="141"/>
      <c r="Y324" s="141"/>
      <c r="Z324" s="141"/>
      <c r="AA324" s="141"/>
      <c r="AB324" s="141"/>
      <c r="AC324"/>
      <c r="AD324"/>
    </row>
    <row r="325" spans="1:30">
      <c r="A325" t="str">
        <f t="shared" si="37"/>
        <v>10-19</v>
      </c>
      <c r="B325" t="str">
        <f t="shared" si="38"/>
        <v>USD</v>
      </c>
      <c r="C325" s="141" t="s">
        <v>793</v>
      </c>
      <c r="D325" s="141">
        <v>1231019</v>
      </c>
      <c r="E325" s="141" t="s">
        <v>707</v>
      </c>
      <c r="F325" s="141" t="s">
        <v>1161</v>
      </c>
      <c r="G325" s="141" t="s">
        <v>1162</v>
      </c>
      <c r="H325" s="141" t="s">
        <v>1100</v>
      </c>
      <c r="I325" s="141" t="s">
        <v>1183</v>
      </c>
      <c r="J325" s="141" t="s">
        <v>662</v>
      </c>
      <c r="K325" s="141" t="s">
        <v>1184</v>
      </c>
      <c r="L325" s="141" t="s">
        <v>55</v>
      </c>
      <c r="M325" s="141" t="s">
        <v>1174</v>
      </c>
      <c r="N325" s="141" t="s">
        <v>654</v>
      </c>
      <c r="O325" s="141" t="s">
        <v>665</v>
      </c>
      <c r="P325" s="141"/>
      <c r="Q325"/>
      <c r="R325" s="141"/>
      <c r="S325" s="141"/>
      <c r="T325" s="141"/>
      <c r="U325" s="141"/>
      <c r="V325" s="141"/>
      <c r="W325" s="141"/>
      <c r="X325" s="141"/>
      <c r="Y325" s="141"/>
      <c r="Z325" s="141"/>
      <c r="AA325" s="141"/>
      <c r="AB325" s="141"/>
      <c r="AC325"/>
      <c r="AD325"/>
    </row>
    <row r="326" spans="1:30">
      <c r="A326" t="str">
        <f t="shared" si="37"/>
        <v>10-19</v>
      </c>
      <c r="B326" t="str">
        <f t="shared" si="38"/>
        <v>USD</v>
      </c>
      <c r="C326" s="141" t="s">
        <v>793</v>
      </c>
      <c r="D326" s="141">
        <v>1231019</v>
      </c>
      <c r="E326" s="141" t="s">
        <v>707</v>
      </c>
      <c r="F326" s="141" t="s">
        <v>1161</v>
      </c>
      <c r="G326" s="141" t="s">
        <v>1162</v>
      </c>
      <c r="H326" s="141" t="s">
        <v>1100</v>
      </c>
      <c r="I326" s="141" t="s">
        <v>1181</v>
      </c>
      <c r="J326" s="141" t="s">
        <v>662</v>
      </c>
      <c r="K326" s="141" t="s">
        <v>1182</v>
      </c>
      <c r="L326" s="141" t="s">
        <v>55</v>
      </c>
      <c r="M326" s="141" t="s">
        <v>1174</v>
      </c>
      <c r="N326" s="141" t="s">
        <v>654</v>
      </c>
      <c r="O326" s="141" t="s">
        <v>665</v>
      </c>
      <c r="P326" s="141"/>
      <c r="Q326"/>
      <c r="R326" s="141"/>
      <c r="S326" s="141"/>
      <c r="T326" s="141"/>
      <c r="U326" s="141"/>
      <c r="V326" s="141"/>
      <c r="W326" s="141"/>
      <c r="X326" s="141"/>
      <c r="Y326" s="141"/>
      <c r="Z326" s="141"/>
      <c r="AA326" s="141"/>
      <c r="AB326" s="141"/>
      <c r="AC326"/>
      <c r="AD326"/>
    </row>
    <row r="327" spans="1:30">
      <c r="A327" t="str">
        <f t="shared" si="37"/>
        <v>10-19</v>
      </c>
      <c r="B327" t="str">
        <f t="shared" si="38"/>
        <v>USD</v>
      </c>
      <c r="C327" s="141" t="s">
        <v>793</v>
      </c>
      <c r="D327" s="141">
        <v>1231019</v>
      </c>
      <c r="E327" s="141" t="s">
        <v>707</v>
      </c>
      <c r="F327" s="141" t="s">
        <v>1161</v>
      </c>
      <c r="G327" s="141" t="s">
        <v>1162</v>
      </c>
      <c r="H327" s="141" t="s">
        <v>1100</v>
      </c>
      <c r="I327" s="141" t="s">
        <v>1179</v>
      </c>
      <c r="J327" s="141" t="s">
        <v>662</v>
      </c>
      <c r="K327" s="141" t="s">
        <v>1180</v>
      </c>
      <c r="L327" s="141" t="s">
        <v>55</v>
      </c>
      <c r="M327" s="141" t="s">
        <v>1174</v>
      </c>
      <c r="N327" s="141" t="s">
        <v>654</v>
      </c>
      <c r="O327" s="141" t="s">
        <v>665</v>
      </c>
      <c r="P327" s="141"/>
      <c r="Q327"/>
      <c r="R327" s="141"/>
      <c r="S327" s="141"/>
      <c r="T327" s="141"/>
      <c r="U327" s="141"/>
      <c r="V327" s="141"/>
      <c r="W327" s="141"/>
      <c r="X327" s="141"/>
      <c r="Y327" s="141"/>
      <c r="Z327" s="141"/>
      <c r="AA327" s="141"/>
      <c r="AB327" s="141"/>
      <c r="AC327"/>
      <c r="AD327"/>
    </row>
    <row r="328" spans="1:30">
      <c r="A328" t="str">
        <f t="shared" si="37"/>
        <v>10-19</v>
      </c>
      <c r="B328" t="str">
        <f t="shared" si="38"/>
        <v>USD</v>
      </c>
      <c r="C328" s="141" t="s">
        <v>793</v>
      </c>
      <c r="D328" s="141">
        <v>1231019</v>
      </c>
      <c r="E328" s="141" t="s">
        <v>707</v>
      </c>
      <c r="F328" s="141" t="s">
        <v>1161</v>
      </c>
      <c r="G328" s="141" t="s">
        <v>1162</v>
      </c>
      <c r="H328" s="141" t="s">
        <v>1100</v>
      </c>
      <c r="I328" s="141" t="s">
        <v>1177</v>
      </c>
      <c r="J328" s="141" t="s">
        <v>662</v>
      </c>
      <c r="K328" s="141" t="s">
        <v>1178</v>
      </c>
      <c r="L328" s="141" t="s">
        <v>55</v>
      </c>
      <c r="M328" s="141" t="s">
        <v>1174</v>
      </c>
      <c r="N328" s="141" t="s">
        <v>654</v>
      </c>
      <c r="O328" s="141" t="s">
        <v>665</v>
      </c>
      <c r="P328" s="141"/>
      <c r="Q328"/>
      <c r="R328" s="141"/>
      <c r="S328" s="141"/>
      <c r="T328" s="141"/>
      <c r="U328" s="141"/>
      <c r="V328" s="141"/>
      <c r="W328" s="141"/>
      <c r="X328" s="141"/>
      <c r="Y328" s="141"/>
      <c r="Z328" s="141"/>
      <c r="AA328" s="141"/>
      <c r="AB328" s="141"/>
      <c r="AC328"/>
      <c r="AD328"/>
    </row>
    <row r="329" spans="1:30">
      <c r="A329" t="str">
        <f t="shared" si="37"/>
        <v>10-19</v>
      </c>
      <c r="B329" t="str">
        <f t="shared" si="38"/>
        <v>USD</v>
      </c>
      <c r="C329" s="141" t="s">
        <v>793</v>
      </c>
      <c r="D329" s="141">
        <v>1231019</v>
      </c>
      <c r="E329" s="141" t="s">
        <v>707</v>
      </c>
      <c r="F329" s="141" t="s">
        <v>1161</v>
      </c>
      <c r="G329" s="141" t="s">
        <v>1162</v>
      </c>
      <c r="H329" s="141" t="s">
        <v>1100</v>
      </c>
      <c r="I329" s="141" t="s">
        <v>1175</v>
      </c>
      <c r="J329" s="141" t="s">
        <v>662</v>
      </c>
      <c r="K329" s="141" t="s">
        <v>1176</v>
      </c>
      <c r="L329" s="141" t="s">
        <v>55</v>
      </c>
      <c r="M329" s="141" t="s">
        <v>1174</v>
      </c>
      <c r="N329" s="141" t="s">
        <v>654</v>
      </c>
      <c r="O329" s="141" t="s">
        <v>665</v>
      </c>
      <c r="P329" s="141"/>
      <c r="Q329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  <c r="AB329" s="141"/>
      <c r="AC329"/>
      <c r="AD329"/>
    </row>
    <row r="330" spans="1:30">
      <c r="A330" t="str">
        <f t="shared" si="37"/>
        <v>10-19</v>
      </c>
      <c r="B330" t="str">
        <f t="shared" si="38"/>
        <v>USD</v>
      </c>
      <c r="C330" s="141" t="s">
        <v>793</v>
      </c>
      <c r="D330" s="141">
        <v>1231019</v>
      </c>
      <c r="E330" s="141" t="s">
        <v>707</v>
      </c>
      <c r="F330" s="141" t="s">
        <v>1161</v>
      </c>
      <c r="G330" s="141" t="s">
        <v>1162</v>
      </c>
      <c r="H330" s="141" t="s">
        <v>1100</v>
      </c>
      <c r="I330" s="141" t="s">
        <v>1172</v>
      </c>
      <c r="J330" s="141" t="s">
        <v>662</v>
      </c>
      <c r="K330" s="141" t="s">
        <v>1173</v>
      </c>
      <c r="L330" s="141" t="s">
        <v>55</v>
      </c>
      <c r="M330" s="141" t="s">
        <v>1174</v>
      </c>
      <c r="N330" s="141" t="s">
        <v>654</v>
      </c>
      <c r="O330" s="141" t="s">
        <v>665</v>
      </c>
      <c r="P330" s="141"/>
      <c r="Q330"/>
      <c r="R330" s="141"/>
      <c r="S330" s="141"/>
      <c r="T330" s="141"/>
      <c r="U330" s="141"/>
      <c r="V330" s="141"/>
      <c r="W330" s="141"/>
      <c r="X330" s="141"/>
      <c r="Y330" s="141"/>
      <c r="Z330" s="141"/>
      <c r="AA330" s="141"/>
      <c r="AB330" s="141"/>
      <c r="AC330"/>
      <c r="AD330"/>
    </row>
    <row r="331" spans="1:30">
      <c r="A331" t="str">
        <f t="shared" si="37"/>
        <v>10-19</v>
      </c>
      <c r="B331" t="str">
        <f t="shared" si="38"/>
        <v>USD</v>
      </c>
      <c r="C331" s="141" t="s">
        <v>793</v>
      </c>
      <c r="D331" s="141">
        <v>1231019</v>
      </c>
      <c r="E331" s="141" t="s">
        <v>707</v>
      </c>
      <c r="F331" s="141" t="s">
        <v>1161</v>
      </c>
      <c r="G331" s="141" t="s">
        <v>1162</v>
      </c>
      <c r="H331" s="141" t="s">
        <v>1100</v>
      </c>
      <c r="I331" s="141" t="s">
        <v>1170</v>
      </c>
      <c r="J331" s="141" t="s">
        <v>662</v>
      </c>
      <c r="K331" s="141" t="s">
        <v>1171</v>
      </c>
      <c r="L331" s="141" t="s">
        <v>57</v>
      </c>
      <c r="M331" s="141" t="s">
        <v>1167</v>
      </c>
      <c r="N331" s="141" t="s">
        <v>654</v>
      </c>
      <c r="O331" s="141" t="s">
        <v>665</v>
      </c>
      <c r="P331" s="141"/>
      <c r="Q331"/>
      <c r="R331" s="141"/>
      <c r="S331" s="141"/>
      <c r="T331" s="141"/>
      <c r="U331" s="141"/>
      <c r="V331" s="141"/>
      <c r="W331" s="141"/>
      <c r="X331" s="141"/>
      <c r="Y331" s="141"/>
      <c r="Z331" s="141"/>
      <c r="AA331" s="141"/>
      <c r="AB331" s="141"/>
      <c r="AC331"/>
      <c r="AD331"/>
    </row>
    <row r="332" spans="1:30">
      <c r="A332" t="str">
        <f t="shared" si="37"/>
        <v>10-19</v>
      </c>
      <c r="B332" t="str">
        <f t="shared" si="38"/>
        <v>USD</v>
      </c>
      <c r="C332" s="141" t="s">
        <v>793</v>
      </c>
      <c r="D332" s="141">
        <v>1231019</v>
      </c>
      <c r="E332" s="141" t="s">
        <v>707</v>
      </c>
      <c r="F332" s="141" t="s">
        <v>1161</v>
      </c>
      <c r="G332" s="141" t="s">
        <v>1162</v>
      </c>
      <c r="H332" s="141" t="s">
        <v>1100</v>
      </c>
      <c r="I332" s="141" t="s">
        <v>1168</v>
      </c>
      <c r="J332" s="141" t="s">
        <v>662</v>
      </c>
      <c r="K332" s="141" t="s">
        <v>1169</v>
      </c>
      <c r="L332" s="141" t="s">
        <v>57</v>
      </c>
      <c r="M332" s="141" t="s">
        <v>1167</v>
      </c>
      <c r="N332" s="141" t="s">
        <v>654</v>
      </c>
      <c r="O332" s="141" t="s">
        <v>665</v>
      </c>
      <c r="P332" s="141"/>
      <c r="Q332"/>
      <c r="R332" s="141"/>
      <c r="S332" s="141"/>
      <c r="T332" s="141"/>
      <c r="U332" s="141"/>
      <c r="V332" s="141"/>
      <c r="W332" s="141"/>
      <c r="X332" s="141"/>
      <c r="Y332" s="141"/>
      <c r="Z332" s="141"/>
      <c r="AA332" s="141"/>
      <c r="AB332" s="141"/>
      <c r="AC332"/>
      <c r="AD332"/>
    </row>
    <row r="333" spans="1:30">
      <c r="A333" t="str">
        <f t="shared" si="37"/>
        <v>10-19</v>
      </c>
      <c r="B333" t="str">
        <f t="shared" si="38"/>
        <v>USD</v>
      </c>
      <c r="C333" s="141" t="s">
        <v>793</v>
      </c>
      <c r="D333" s="141">
        <v>1231019</v>
      </c>
      <c r="E333" s="141" t="s">
        <v>707</v>
      </c>
      <c r="F333" s="141" t="s">
        <v>1161</v>
      </c>
      <c r="G333" s="141" t="s">
        <v>1162</v>
      </c>
      <c r="H333" s="141" t="s">
        <v>1100</v>
      </c>
      <c r="I333" s="141" t="s">
        <v>1165</v>
      </c>
      <c r="J333" s="141" t="s">
        <v>662</v>
      </c>
      <c r="K333" s="141" t="s">
        <v>1166</v>
      </c>
      <c r="L333" s="141" t="s">
        <v>57</v>
      </c>
      <c r="M333" s="141" t="s">
        <v>1167</v>
      </c>
      <c r="N333" s="141" t="s">
        <v>654</v>
      </c>
      <c r="O333" s="141" t="s">
        <v>665</v>
      </c>
      <c r="P333" s="141"/>
      <c r="Q333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  <c r="AB333" s="141"/>
      <c r="AC333"/>
      <c r="AD333"/>
    </row>
    <row r="334" spans="1:30">
      <c r="A334" t="str">
        <f t="shared" si="37"/>
        <v>10-24</v>
      </c>
      <c r="B334" t="str">
        <f t="shared" si="38"/>
        <v>AUD</v>
      </c>
      <c r="C334" s="141" t="s">
        <v>793</v>
      </c>
      <c r="D334" s="141">
        <v>1231024</v>
      </c>
      <c r="E334" s="141" t="s">
        <v>707</v>
      </c>
      <c r="F334" s="141" t="s">
        <v>1080</v>
      </c>
      <c r="G334" s="141" t="s">
        <v>1081</v>
      </c>
      <c r="H334" s="141" t="s">
        <v>145</v>
      </c>
      <c r="I334" s="141" t="s">
        <v>1239</v>
      </c>
      <c r="J334" s="141" t="s">
        <v>662</v>
      </c>
      <c r="K334" s="141" t="s">
        <v>1240</v>
      </c>
      <c r="L334" s="141" t="s">
        <v>61</v>
      </c>
      <c r="M334" s="141" t="s">
        <v>879</v>
      </c>
      <c r="N334" s="141" t="s">
        <v>654</v>
      </c>
      <c r="O334" s="141" t="s">
        <v>799</v>
      </c>
      <c r="P334" s="141"/>
      <c r="Q334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  <c r="AB334" s="141"/>
      <c r="AC334"/>
      <c r="AD334"/>
    </row>
    <row r="335" spans="1:30">
      <c r="A335" t="str">
        <f t="shared" si="37"/>
        <v>10-24</v>
      </c>
      <c r="B335" t="str">
        <f t="shared" si="38"/>
        <v>AUD</v>
      </c>
      <c r="C335" s="141" t="s">
        <v>793</v>
      </c>
      <c r="D335" s="141">
        <v>1231024</v>
      </c>
      <c r="E335" s="141" t="s">
        <v>707</v>
      </c>
      <c r="F335" s="141" t="s">
        <v>1080</v>
      </c>
      <c r="G335" s="141" t="s">
        <v>1081</v>
      </c>
      <c r="H335" s="141" t="s">
        <v>145</v>
      </c>
      <c r="I335" s="141" t="s">
        <v>1241</v>
      </c>
      <c r="J335" s="141" t="s">
        <v>662</v>
      </c>
      <c r="K335" s="141" t="s">
        <v>1242</v>
      </c>
      <c r="L335" s="141" t="s">
        <v>61</v>
      </c>
      <c r="M335" s="141" t="s">
        <v>879</v>
      </c>
      <c r="N335" s="141" t="s">
        <v>654</v>
      </c>
      <c r="O335" s="141" t="s">
        <v>799</v>
      </c>
      <c r="P335" s="141"/>
      <c r="Q335"/>
      <c r="R335" s="141"/>
      <c r="S335" s="141"/>
      <c r="T335" s="141"/>
      <c r="U335" s="141"/>
      <c r="V335" s="141"/>
      <c r="W335" s="141"/>
      <c r="X335" s="141"/>
      <c r="Y335" s="141"/>
      <c r="Z335" s="141"/>
      <c r="AA335" s="141"/>
      <c r="AB335" s="141"/>
      <c r="AC335"/>
      <c r="AD335"/>
    </row>
    <row r="336" spans="1:30">
      <c r="A336" t="str">
        <f t="shared" si="37"/>
        <v>10-24</v>
      </c>
      <c r="B336" t="str">
        <f t="shared" si="38"/>
        <v>AUD</v>
      </c>
      <c r="C336" s="141" t="s">
        <v>793</v>
      </c>
      <c r="D336" s="141">
        <v>1231024</v>
      </c>
      <c r="E336" s="141" t="s">
        <v>707</v>
      </c>
      <c r="F336" s="141" t="s">
        <v>1243</v>
      </c>
      <c r="G336" s="141" t="s">
        <v>795</v>
      </c>
      <c r="H336" s="141" t="s">
        <v>145</v>
      </c>
      <c r="I336" s="141" t="s">
        <v>1244</v>
      </c>
      <c r="J336" s="141" t="s">
        <v>662</v>
      </c>
      <c r="K336" s="141" t="s">
        <v>1245</v>
      </c>
      <c r="L336" s="141" t="s">
        <v>61</v>
      </c>
      <c r="M336" s="141" t="s">
        <v>879</v>
      </c>
      <c r="N336" s="141" t="s">
        <v>654</v>
      </c>
      <c r="O336" s="141" t="s">
        <v>799</v>
      </c>
      <c r="P336" s="141"/>
      <c r="Q336"/>
      <c r="R336" s="141"/>
      <c r="S336" s="141"/>
      <c r="T336" s="141"/>
      <c r="U336" s="141"/>
      <c r="V336" s="141"/>
      <c r="W336" s="141"/>
      <c r="X336" s="141"/>
      <c r="Y336" s="141"/>
      <c r="Z336" s="141"/>
      <c r="AA336" s="141"/>
      <c r="AB336" s="141"/>
      <c r="AC336"/>
      <c r="AD336"/>
    </row>
    <row r="337" spans="1:30">
      <c r="A337" t="str">
        <f t="shared" si="37"/>
        <v>10-24</v>
      </c>
      <c r="B337" t="str">
        <f t="shared" si="38"/>
        <v>AUD</v>
      </c>
      <c r="C337" s="141" t="s">
        <v>793</v>
      </c>
      <c r="D337" s="141">
        <v>1231024</v>
      </c>
      <c r="E337" s="141" t="s">
        <v>657</v>
      </c>
      <c r="F337" s="141" t="s">
        <v>1246</v>
      </c>
      <c r="G337" s="141" t="s">
        <v>1247</v>
      </c>
      <c r="H337" s="141" t="s">
        <v>145</v>
      </c>
      <c r="I337" s="141" t="s">
        <v>1248</v>
      </c>
      <c r="J337" s="141" t="s">
        <v>662</v>
      </c>
      <c r="K337" s="141" t="s">
        <v>1249</v>
      </c>
      <c r="L337" s="141" t="s">
        <v>51</v>
      </c>
      <c r="M337" s="141" t="s">
        <v>967</v>
      </c>
      <c r="N337" s="141" t="s">
        <v>654</v>
      </c>
      <c r="O337" s="141" t="s">
        <v>799</v>
      </c>
      <c r="P337" s="141"/>
      <c r="Q337"/>
      <c r="R337" s="141"/>
      <c r="S337" s="141"/>
      <c r="T337" s="141"/>
      <c r="U337" s="141"/>
      <c r="V337" s="141"/>
      <c r="W337" s="141"/>
      <c r="X337" s="141"/>
      <c r="Y337" s="141"/>
      <c r="Z337" s="141"/>
      <c r="AA337" s="141"/>
      <c r="AB337" s="141"/>
      <c r="AC337"/>
      <c r="AD337"/>
    </row>
    <row r="338" spans="1:30">
      <c r="A338" t="str">
        <f t="shared" si="37"/>
        <v>10-24</v>
      </c>
      <c r="B338" t="str">
        <f t="shared" si="38"/>
        <v>AUD</v>
      </c>
      <c r="C338" s="141" t="s">
        <v>793</v>
      </c>
      <c r="D338" s="141">
        <v>1231024</v>
      </c>
      <c r="E338" s="141" t="s">
        <v>657</v>
      </c>
      <c r="F338" s="141" t="s">
        <v>1246</v>
      </c>
      <c r="G338" s="141" t="s">
        <v>1247</v>
      </c>
      <c r="H338" s="141" t="s">
        <v>145</v>
      </c>
      <c r="I338" s="141" t="s">
        <v>1250</v>
      </c>
      <c r="J338" s="141" t="s">
        <v>662</v>
      </c>
      <c r="K338" s="141" t="s">
        <v>1251</v>
      </c>
      <c r="L338" s="141" t="s">
        <v>51</v>
      </c>
      <c r="M338" s="141" t="s">
        <v>967</v>
      </c>
      <c r="N338" s="141" t="s">
        <v>654</v>
      </c>
      <c r="O338" s="141" t="s">
        <v>799</v>
      </c>
      <c r="P338" s="141"/>
      <c r="Q338"/>
      <c r="R338" s="141"/>
      <c r="S338" s="141"/>
      <c r="T338" s="141"/>
      <c r="U338" s="141"/>
      <c r="V338" s="141"/>
      <c r="W338" s="141"/>
      <c r="X338" s="141"/>
      <c r="Y338" s="141"/>
      <c r="Z338" s="141"/>
      <c r="AA338" s="141"/>
      <c r="AB338" s="141"/>
      <c r="AC338"/>
      <c r="AD338"/>
    </row>
    <row r="339" spans="1:30">
      <c r="A339" t="str">
        <f t="shared" si="37"/>
        <v>10-24</v>
      </c>
      <c r="B339" t="str">
        <f t="shared" si="38"/>
        <v>AUD</v>
      </c>
      <c r="C339" s="141" t="s">
        <v>793</v>
      </c>
      <c r="D339" s="141">
        <v>1231024</v>
      </c>
      <c r="E339" s="141" t="s">
        <v>657</v>
      </c>
      <c r="F339" s="141" t="s">
        <v>1246</v>
      </c>
      <c r="G339" s="141" t="s">
        <v>1247</v>
      </c>
      <c r="H339" s="141" t="s">
        <v>145</v>
      </c>
      <c r="I339" s="141" t="s">
        <v>1252</v>
      </c>
      <c r="J339" s="141" t="s">
        <v>662</v>
      </c>
      <c r="K339" s="141" t="s">
        <v>1253</v>
      </c>
      <c r="L339" s="141" t="s">
        <v>64</v>
      </c>
      <c r="M339" s="141" t="s">
        <v>1254</v>
      </c>
      <c r="N339" s="141" t="s">
        <v>654</v>
      </c>
      <c r="O339" s="141" t="s">
        <v>799</v>
      </c>
      <c r="P339" s="141"/>
      <c r="Q339"/>
      <c r="R339" s="141"/>
      <c r="S339" s="141"/>
      <c r="T339" s="141"/>
      <c r="U339" s="141"/>
      <c r="V339" s="141"/>
      <c r="W339" s="141"/>
      <c r="X339" s="141"/>
      <c r="Y339" s="141"/>
      <c r="Z339" s="141"/>
      <c r="AA339" s="141"/>
      <c r="AB339" s="141"/>
      <c r="AC339"/>
      <c r="AD339"/>
    </row>
    <row r="340" spans="1:30">
      <c r="A340" t="str">
        <f t="shared" si="37"/>
        <v>10-24</v>
      </c>
      <c r="B340" t="str">
        <f t="shared" si="38"/>
        <v>AUD</v>
      </c>
      <c r="C340" s="141" t="s">
        <v>793</v>
      </c>
      <c r="D340" s="141">
        <v>1231024</v>
      </c>
      <c r="E340" s="141" t="s">
        <v>657</v>
      </c>
      <c r="F340" s="141" t="s">
        <v>1246</v>
      </c>
      <c r="G340" s="141" t="s">
        <v>1247</v>
      </c>
      <c r="H340" s="141" t="s">
        <v>145</v>
      </c>
      <c r="I340" s="141" t="s">
        <v>1255</v>
      </c>
      <c r="J340" s="141" t="s">
        <v>662</v>
      </c>
      <c r="K340" s="141" t="s">
        <v>1256</v>
      </c>
      <c r="L340" s="141" t="s">
        <v>64</v>
      </c>
      <c r="M340" s="141" t="s">
        <v>1254</v>
      </c>
      <c r="N340" s="141" t="s">
        <v>654</v>
      </c>
      <c r="O340" s="141" t="s">
        <v>799</v>
      </c>
      <c r="P340" s="141"/>
      <c r="Q340"/>
      <c r="R340" s="141"/>
      <c r="S340" s="141"/>
      <c r="T340" s="141"/>
      <c r="U340" s="141"/>
      <c r="V340" s="141"/>
      <c r="W340" s="141"/>
      <c r="X340" s="141"/>
      <c r="Y340" s="141"/>
      <c r="Z340" s="141"/>
      <c r="AA340" s="141"/>
      <c r="AB340" s="141"/>
      <c r="AC340"/>
      <c r="AD340"/>
    </row>
    <row r="341" spans="1:30">
      <c r="A341" t="str">
        <f t="shared" si="37"/>
        <v>10-24</v>
      </c>
      <c r="B341" t="str">
        <f t="shared" si="38"/>
        <v>AUD</v>
      </c>
      <c r="C341" s="141" t="s">
        <v>793</v>
      </c>
      <c r="D341" s="141">
        <v>1231024</v>
      </c>
      <c r="E341" s="141" t="s">
        <v>657</v>
      </c>
      <c r="F341" s="141" t="s">
        <v>1136</v>
      </c>
      <c r="G341" s="141" t="s">
        <v>1137</v>
      </c>
      <c r="H341" s="141" t="s">
        <v>145</v>
      </c>
      <c r="I341" s="141" t="s">
        <v>1257</v>
      </c>
      <c r="J341" s="141" t="s">
        <v>662</v>
      </c>
      <c r="K341" s="141" t="s">
        <v>1258</v>
      </c>
      <c r="L341" s="141" t="s">
        <v>51</v>
      </c>
      <c r="M341" s="141" t="s">
        <v>967</v>
      </c>
      <c r="N341" s="141" t="s">
        <v>654</v>
      </c>
      <c r="O341" s="141" t="s">
        <v>799</v>
      </c>
      <c r="P341" s="141"/>
      <c r="Q3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  <c r="AB341" s="141"/>
      <c r="AC341"/>
      <c r="AD341"/>
    </row>
    <row r="342" spans="1:30">
      <c r="A342" t="str">
        <f t="shared" si="37"/>
        <v>10-24</v>
      </c>
      <c r="B342" t="str">
        <f t="shared" si="38"/>
        <v>AUD</v>
      </c>
      <c r="C342" s="141" t="s">
        <v>793</v>
      </c>
      <c r="D342" s="141">
        <v>1231024</v>
      </c>
      <c r="E342" s="141" t="s">
        <v>657</v>
      </c>
      <c r="F342" s="141" t="s">
        <v>1136</v>
      </c>
      <c r="G342" s="141" t="s">
        <v>1137</v>
      </c>
      <c r="H342" s="141" t="s">
        <v>145</v>
      </c>
      <c r="I342" s="141" t="s">
        <v>1259</v>
      </c>
      <c r="J342" s="141" t="s">
        <v>662</v>
      </c>
      <c r="K342" s="141" t="s">
        <v>1260</v>
      </c>
      <c r="L342" s="141" t="s">
        <v>51</v>
      </c>
      <c r="M342" s="141" t="s">
        <v>967</v>
      </c>
      <c r="N342" s="141" t="s">
        <v>654</v>
      </c>
      <c r="O342" s="141" t="s">
        <v>799</v>
      </c>
      <c r="P342" s="141"/>
      <c r="Q342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  <c r="AB342" s="141"/>
      <c r="AC342"/>
      <c r="AD342"/>
    </row>
    <row r="343" spans="1:30">
      <c r="A343" t="str">
        <f t="shared" si="37"/>
        <v>10-24</v>
      </c>
      <c r="B343" t="str">
        <f t="shared" si="38"/>
        <v>AUD</v>
      </c>
      <c r="C343" s="141" t="s">
        <v>793</v>
      </c>
      <c r="D343" s="141">
        <v>1231024</v>
      </c>
      <c r="E343" s="141" t="s">
        <v>657</v>
      </c>
      <c r="F343" s="141" t="s">
        <v>1136</v>
      </c>
      <c r="G343" s="141" t="s">
        <v>1137</v>
      </c>
      <c r="H343" s="141" t="s">
        <v>145</v>
      </c>
      <c r="I343" s="141" t="s">
        <v>1261</v>
      </c>
      <c r="J343" s="141" t="s">
        <v>662</v>
      </c>
      <c r="K343" s="141" t="s">
        <v>1262</v>
      </c>
      <c r="L343" s="141" t="s">
        <v>64</v>
      </c>
      <c r="M343" s="141" t="s">
        <v>1254</v>
      </c>
      <c r="N343" s="141" t="s">
        <v>654</v>
      </c>
      <c r="O343" s="141" t="s">
        <v>799</v>
      </c>
      <c r="P343" s="141"/>
      <c r="Q343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  <c r="AB343" s="141"/>
      <c r="AC343"/>
      <c r="AD343"/>
    </row>
    <row r="344" spans="1:30">
      <c r="A344" t="str">
        <f t="shared" si="37"/>
        <v>10-24</v>
      </c>
      <c r="B344" t="str">
        <f t="shared" si="38"/>
        <v>AUD</v>
      </c>
      <c r="C344" s="141" t="s">
        <v>793</v>
      </c>
      <c r="D344" s="141">
        <v>1231024</v>
      </c>
      <c r="E344" s="141" t="s">
        <v>657</v>
      </c>
      <c r="F344" s="141" t="s">
        <v>1136</v>
      </c>
      <c r="G344" s="141" t="s">
        <v>1137</v>
      </c>
      <c r="H344" s="141" t="s">
        <v>145</v>
      </c>
      <c r="I344" s="141" t="s">
        <v>1263</v>
      </c>
      <c r="J344" s="141" t="s">
        <v>662</v>
      </c>
      <c r="K344" s="141" t="s">
        <v>1264</v>
      </c>
      <c r="L344" s="141" t="s">
        <v>64</v>
      </c>
      <c r="M344" s="141" t="s">
        <v>1254</v>
      </c>
      <c r="N344" s="141" t="s">
        <v>654</v>
      </c>
      <c r="O344" s="141" t="s">
        <v>799</v>
      </c>
      <c r="P344" s="141"/>
      <c r="Q344"/>
      <c r="R344" s="141"/>
      <c r="S344" s="141"/>
      <c r="T344" s="141"/>
      <c r="U344" s="141"/>
      <c r="V344" s="141"/>
      <c r="W344" s="141"/>
      <c r="X344" s="141"/>
      <c r="Y344" s="141"/>
      <c r="Z344" s="141"/>
      <c r="AA344" s="141"/>
      <c r="AB344" s="141"/>
      <c r="AC344"/>
      <c r="AD344"/>
    </row>
    <row r="345" spans="1:30">
      <c r="A345" t="str">
        <f t="shared" si="37"/>
        <v>10-24</v>
      </c>
      <c r="B345" t="str">
        <f t="shared" si="38"/>
        <v>AUD</v>
      </c>
      <c r="C345" s="141" t="s">
        <v>793</v>
      </c>
      <c r="D345" s="141">
        <v>1231024</v>
      </c>
      <c r="E345" s="141" t="s">
        <v>707</v>
      </c>
      <c r="F345" s="141" t="s">
        <v>1265</v>
      </c>
      <c r="G345" s="141" t="s">
        <v>820</v>
      </c>
      <c r="H345" s="141" t="s">
        <v>145</v>
      </c>
      <c r="I345" s="141" t="s">
        <v>1266</v>
      </c>
      <c r="J345" s="141" t="s">
        <v>662</v>
      </c>
      <c r="K345" s="141" t="s">
        <v>1267</v>
      </c>
      <c r="L345" s="141" t="s">
        <v>61</v>
      </c>
      <c r="M345" s="141" t="s">
        <v>879</v>
      </c>
      <c r="N345" s="141" t="s">
        <v>654</v>
      </c>
      <c r="O345" s="141" t="s">
        <v>799</v>
      </c>
      <c r="P345" s="141"/>
      <c r="Q345"/>
      <c r="R345" s="141"/>
      <c r="S345" s="141"/>
      <c r="T345" s="141"/>
      <c r="U345" s="141"/>
      <c r="V345" s="141"/>
      <c r="W345" s="141"/>
      <c r="X345" s="141"/>
      <c r="Y345" s="141"/>
      <c r="Z345" s="141"/>
      <c r="AA345" s="141"/>
      <c r="AB345" s="141"/>
      <c r="AC345"/>
      <c r="AD345"/>
    </row>
    <row r="346" spans="1:30">
      <c r="A346" t="str">
        <f t="shared" si="37"/>
        <v>10-24</v>
      </c>
      <c r="B346" t="str">
        <f t="shared" si="38"/>
        <v>AUD</v>
      </c>
      <c r="C346" s="138" t="s">
        <v>793</v>
      </c>
      <c r="D346" s="138">
        <v>1231024</v>
      </c>
      <c r="E346" s="138" t="s">
        <v>657</v>
      </c>
      <c r="F346" s="138" t="s">
        <v>1075</v>
      </c>
      <c r="G346" s="138" t="s">
        <v>1076</v>
      </c>
      <c r="H346" s="138" t="s">
        <v>145</v>
      </c>
      <c r="I346" s="138" t="s">
        <v>1283</v>
      </c>
      <c r="J346" s="138" t="s">
        <v>662</v>
      </c>
      <c r="K346" s="138" t="s">
        <v>1350</v>
      </c>
      <c r="L346" s="138" t="s">
        <v>51</v>
      </c>
      <c r="M346" s="138" t="s">
        <v>967</v>
      </c>
      <c r="N346" s="138" t="s">
        <v>654</v>
      </c>
      <c r="O346" s="138" t="s">
        <v>799</v>
      </c>
      <c r="P346" s="141"/>
      <c r="Q346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  <c r="AB346" s="141"/>
      <c r="AC346"/>
      <c r="AD346"/>
    </row>
    <row r="347" spans="1:30">
      <c r="A347" t="str">
        <f t="shared" si="37"/>
        <v>10-24</v>
      </c>
      <c r="B347" t="str">
        <f t="shared" si="38"/>
        <v>AUD</v>
      </c>
      <c r="C347" s="138" t="s">
        <v>793</v>
      </c>
      <c r="D347" s="138">
        <v>1231024</v>
      </c>
      <c r="E347" s="138" t="s">
        <v>657</v>
      </c>
      <c r="F347" s="138" t="s">
        <v>1075</v>
      </c>
      <c r="G347" s="138" t="s">
        <v>1076</v>
      </c>
      <c r="H347" s="138" t="s">
        <v>145</v>
      </c>
      <c r="I347" s="138" t="s">
        <v>1289</v>
      </c>
      <c r="J347" s="138" t="s">
        <v>662</v>
      </c>
      <c r="K347" s="138" t="s">
        <v>1357</v>
      </c>
      <c r="L347" s="138" t="s">
        <v>51</v>
      </c>
      <c r="M347" s="138" t="s">
        <v>967</v>
      </c>
      <c r="N347" s="138" t="s">
        <v>654</v>
      </c>
      <c r="O347" s="138" t="s">
        <v>799</v>
      </c>
      <c r="P347" s="141"/>
      <c r="Q347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  <c r="AB347" s="141"/>
      <c r="AC347"/>
      <c r="AD347"/>
    </row>
    <row r="348" spans="1:30">
      <c r="A348" t="str">
        <f t="shared" si="37"/>
        <v>10-24</v>
      </c>
      <c r="B348" t="str">
        <f t="shared" si="38"/>
        <v>AUD</v>
      </c>
      <c r="C348" s="138" t="s">
        <v>793</v>
      </c>
      <c r="D348" s="138">
        <v>1231024</v>
      </c>
      <c r="E348" s="138" t="s">
        <v>657</v>
      </c>
      <c r="F348" s="138" t="s">
        <v>1075</v>
      </c>
      <c r="G348" s="138" t="s">
        <v>1076</v>
      </c>
      <c r="H348" s="138" t="s">
        <v>145</v>
      </c>
      <c r="I348" s="138" t="s">
        <v>1284</v>
      </c>
      <c r="J348" s="138" t="s">
        <v>662</v>
      </c>
      <c r="K348" s="138" t="s">
        <v>1351</v>
      </c>
      <c r="L348" s="138" t="s">
        <v>64</v>
      </c>
      <c r="M348" s="138" t="s">
        <v>1254</v>
      </c>
      <c r="N348" s="138" t="s">
        <v>654</v>
      </c>
      <c r="O348" s="138" t="s">
        <v>799</v>
      </c>
      <c r="P348" s="141"/>
      <c r="Q348"/>
      <c r="R348" s="141"/>
      <c r="S348" s="141"/>
      <c r="T348" s="141"/>
      <c r="U348" s="141"/>
      <c r="V348" s="141"/>
      <c r="W348" s="141"/>
      <c r="X348" s="141"/>
      <c r="Y348" s="141"/>
      <c r="Z348" s="141"/>
      <c r="AA348" s="141"/>
      <c r="AB348" s="141"/>
      <c r="AC348"/>
      <c r="AD348"/>
    </row>
    <row r="349" spans="1:30">
      <c r="A349" t="str">
        <f t="shared" si="37"/>
        <v>10-24</v>
      </c>
      <c r="B349" t="str">
        <f t="shared" si="38"/>
        <v>AUD</v>
      </c>
      <c r="C349" s="138" t="s">
        <v>793</v>
      </c>
      <c r="D349" s="138">
        <v>1231024</v>
      </c>
      <c r="E349" s="138" t="s">
        <v>657</v>
      </c>
      <c r="F349" s="138" t="s">
        <v>1075</v>
      </c>
      <c r="G349" s="138" t="s">
        <v>1076</v>
      </c>
      <c r="H349" s="138" t="s">
        <v>145</v>
      </c>
      <c r="I349" s="138" t="s">
        <v>1290</v>
      </c>
      <c r="J349" s="138" t="s">
        <v>662</v>
      </c>
      <c r="K349" s="138" t="s">
        <v>1358</v>
      </c>
      <c r="L349" s="138" t="s">
        <v>64</v>
      </c>
      <c r="M349" s="138" t="s">
        <v>1254</v>
      </c>
      <c r="N349" s="138" t="s">
        <v>654</v>
      </c>
      <c r="O349" s="138" t="s">
        <v>799</v>
      </c>
      <c r="P349" s="141"/>
      <c r="Q349"/>
      <c r="R349" s="141"/>
      <c r="S349" s="141"/>
      <c r="T349" s="141"/>
      <c r="U349" s="141"/>
      <c r="V349" s="141"/>
      <c r="W349" s="141"/>
      <c r="X349" s="141"/>
      <c r="Y349" s="141"/>
      <c r="Z349" s="141"/>
      <c r="AA349" s="141"/>
      <c r="AB349" s="141"/>
      <c r="AC349"/>
      <c r="AD349"/>
    </row>
    <row r="350" spans="1:30">
      <c r="A350" t="str">
        <f t="shared" si="37"/>
        <v>10-24</v>
      </c>
      <c r="B350" t="str">
        <f t="shared" si="38"/>
        <v>AUD</v>
      </c>
      <c r="C350" s="138" t="s">
        <v>793</v>
      </c>
      <c r="D350" s="138">
        <v>1231024</v>
      </c>
      <c r="E350" s="138" t="s">
        <v>657</v>
      </c>
      <c r="F350" s="138" t="s">
        <v>1075</v>
      </c>
      <c r="G350" s="138" t="s">
        <v>1076</v>
      </c>
      <c r="H350" s="138" t="s">
        <v>145</v>
      </c>
      <c r="I350" s="138" t="s">
        <v>1285</v>
      </c>
      <c r="J350" s="138" t="s">
        <v>662</v>
      </c>
      <c r="K350" s="138" t="s">
        <v>1352</v>
      </c>
      <c r="L350" s="138" t="s">
        <v>51</v>
      </c>
      <c r="M350" s="138" t="s">
        <v>1106</v>
      </c>
      <c r="N350" s="138" t="s">
        <v>654</v>
      </c>
      <c r="O350" s="138" t="s">
        <v>799</v>
      </c>
      <c r="P350" s="141"/>
      <c r="Q350"/>
      <c r="R350" s="141"/>
      <c r="S350" s="141"/>
      <c r="T350" s="141"/>
      <c r="U350" s="141"/>
      <c r="V350" s="141"/>
      <c r="W350" s="141"/>
      <c r="X350" s="141"/>
      <c r="Y350" s="141"/>
      <c r="Z350" s="141"/>
      <c r="AA350" s="141"/>
      <c r="AB350" s="141"/>
      <c r="AC350"/>
      <c r="AD350"/>
    </row>
    <row r="351" spans="1:30">
      <c r="A351" t="str">
        <f t="shared" si="37"/>
        <v>10-24</v>
      </c>
      <c r="B351" t="str">
        <f t="shared" si="38"/>
        <v>AUD</v>
      </c>
      <c r="C351" s="138" t="s">
        <v>793</v>
      </c>
      <c r="D351" s="138">
        <v>1231024</v>
      </c>
      <c r="E351" s="138" t="s">
        <v>657</v>
      </c>
      <c r="F351" s="138" t="s">
        <v>1075</v>
      </c>
      <c r="G351" s="138" t="s">
        <v>1076</v>
      </c>
      <c r="H351" s="138" t="s">
        <v>145</v>
      </c>
      <c r="I351" s="138" t="s">
        <v>1291</v>
      </c>
      <c r="J351" s="138" t="s">
        <v>662</v>
      </c>
      <c r="K351" s="138" t="s">
        <v>1359</v>
      </c>
      <c r="L351" s="138" t="s">
        <v>51</v>
      </c>
      <c r="M351" s="138" t="s">
        <v>1106</v>
      </c>
      <c r="N351" s="138" t="s">
        <v>654</v>
      </c>
      <c r="O351" s="138" t="s">
        <v>799</v>
      </c>
      <c r="P351" s="141"/>
      <c r="Q351"/>
      <c r="R351" s="141"/>
      <c r="S351" s="141"/>
      <c r="T351" s="141"/>
      <c r="U351" s="141"/>
      <c r="V351" s="141"/>
      <c r="W351" s="141"/>
      <c r="X351" s="141"/>
      <c r="Y351" s="141"/>
      <c r="Z351" s="141"/>
      <c r="AA351" s="141"/>
      <c r="AB351" s="141"/>
      <c r="AC351"/>
      <c r="AD351"/>
    </row>
    <row r="352" spans="1:30">
      <c r="A352" t="str">
        <f t="shared" si="37"/>
        <v>10-24</v>
      </c>
      <c r="B352" t="str">
        <f t="shared" si="38"/>
        <v>AUD</v>
      </c>
      <c r="C352" s="138" t="s">
        <v>793</v>
      </c>
      <c r="D352" s="138">
        <v>1231024</v>
      </c>
      <c r="E352" s="138" t="s">
        <v>657</v>
      </c>
      <c r="F352" s="138" t="s">
        <v>1075</v>
      </c>
      <c r="G352" s="138" t="s">
        <v>1076</v>
      </c>
      <c r="H352" s="138" t="s">
        <v>145</v>
      </c>
      <c r="I352" s="138" t="s">
        <v>1286</v>
      </c>
      <c r="J352" s="138" t="s">
        <v>662</v>
      </c>
      <c r="K352" s="138" t="s">
        <v>1353</v>
      </c>
      <c r="L352" s="138" t="s">
        <v>95</v>
      </c>
      <c r="M352" s="138" t="s">
        <v>664</v>
      </c>
      <c r="N352" s="138" t="s">
        <v>654</v>
      </c>
      <c r="O352" s="138" t="s">
        <v>665</v>
      </c>
      <c r="P352" s="141"/>
      <c r="Q352"/>
      <c r="R352" s="141"/>
      <c r="S352" s="141"/>
      <c r="T352" s="141"/>
      <c r="U352" s="141"/>
      <c r="V352" s="141"/>
      <c r="W352" s="141"/>
      <c r="X352" s="141"/>
      <c r="Y352" s="141"/>
      <c r="Z352" s="141"/>
      <c r="AA352" s="141"/>
      <c r="AB352" s="141"/>
      <c r="AC352"/>
      <c r="AD352"/>
    </row>
    <row r="353" spans="1:30">
      <c r="A353" t="str">
        <f t="shared" si="37"/>
        <v>10-24</v>
      </c>
      <c r="B353" t="str">
        <f t="shared" si="38"/>
        <v>AUD</v>
      </c>
      <c r="C353" s="138" t="s">
        <v>793</v>
      </c>
      <c r="D353" s="138">
        <v>1231024</v>
      </c>
      <c r="E353" s="138" t="s">
        <v>657</v>
      </c>
      <c r="F353" s="138" t="s">
        <v>1075</v>
      </c>
      <c r="G353" s="138" t="s">
        <v>1076</v>
      </c>
      <c r="H353" s="138" t="s">
        <v>145</v>
      </c>
      <c r="I353" s="138" t="s">
        <v>1292</v>
      </c>
      <c r="J353" s="138" t="s">
        <v>662</v>
      </c>
      <c r="K353" s="138" t="s">
        <v>1360</v>
      </c>
      <c r="L353" s="138" t="s">
        <v>95</v>
      </c>
      <c r="M353" s="138" t="s">
        <v>664</v>
      </c>
      <c r="N353" s="138" t="s">
        <v>654</v>
      </c>
      <c r="O353" s="138" t="s">
        <v>665</v>
      </c>
      <c r="P353" s="141"/>
      <c r="Q353"/>
      <c r="R353" s="141"/>
      <c r="S353" s="141"/>
      <c r="T353" s="141"/>
      <c r="U353" s="141"/>
      <c r="V353" s="141"/>
      <c r="W353" s="141"/>
      <c r="X353" s="141"/>
      <c r="Y353" s="141"/>
      <c r="Z353" s="141"/>
      <c r="AA353" s="141"/>
      <c r="AB353" s="141"/>
      <c r="AC353"/>
      <c r="AD353"/>
    </row>
    <row r="354" spans="1:30">
      <c r="A354" t="str">
        <f t="shared" si="37"/>
        <v>10-24</v>
      </c>
      <c r="B354" t="str">
        <f t="shared" si="38"/>
        <v>AUD</v>
      </c>
      <c r="C354" s="138" t="s">
        <v>793</v>
      </c>
      <c r="D354" s="138">
        <v>1231024</v>
      </c>
      <c r="E354" s="138" t="s">
        <v>657</v>
      </c>
      <c r="F354" s="138" t="s">
        <v>1075</v>
      </c>
      <c r="G354" s="138" t="s">
        <v>1076</v>
      </c>
      <c r="H354" s="138" t="s">
        <v>145</v>
      </c>
      <c r="I354" s="138" t="s">
        <v>1287</v>
      </c>
      <c r="J354" s="138" t="s">
        <v>662</v>
      </c>
      <c r="K354" s="138" t="s">
        <v>1354</v>
      </c>
      <c r="L354" s="138" t="s">
        <v>95</v>
      </c>
      <c r="M354" s="138" t="s">
        <v>682</v>
      </c>
      <c r="N354" s="138" t="s">
        <v>654</v>
      </c>
      <c r="O354" s="138" t="s">
        <v>665</v>
      </c>
      <c r="P354" s="141"/>
      <c r="Q354"/>
      <c r="R354" s="141"/>
      <c r="S354" s="141"/>
      <c r="T354" s="141"/>
      <c r="U354" s="141"/>
      <c r="V354" s="141"/>
      <c r="W354" s="141"/>
      <c r="X354" s="141"/>
      <c r="Y354" s="141"/>
      <c r="Z354" s="141"/>
      <c r="AA354" s="141"/>
      <c r="AB354" s="141"/>
      <c r="AC354"/>
      <c r="AD354"/>
    </row>
    <row r="355" spans="1:30">
      <c r="A355" t="str">
        <f t="shared" si="37"/>
        <v>10-24</v>
      </c>
      <c r="B355" t="str">
        <f t="shared" si="38"/>
        <v>AUD</v>
      </c>
      <c r="C355" s="138" t="s">
        <v>793</v>
      </c>
      <c r="D355" s="138">
        <v>1231024</v>
      </c>
      <c r="E355" s="138" t="s">
        <v>657</v>
      </c>
      <c r="F355" s="138" t="s">
        <v>1075</v>
      </c>
      <c r="G355" s="138" t="s">
        <v>1076</v>
      </c>
      <c r="H355" s="138" t="s">
        <v>145</v>
      </c>
      <c r="I355" s="138" t="s">
        <v>1293</v>
      </c>
      <c r="J355" s="138" t="s">
        <v>662</v>
      </c>
      <c r="K355" s="138" t="s">
        <v>1361</v>
      </c>
      <c r="L355" s="138" t="s">
        <v>95</v>
      </c>
      <c r="M355" s="138" t="s">
        <v>682</v>
      </c>
      <c r="N355" s="138" t="s">
        <v>654</v>
      </c>
      <c r="O355" s="138" t="s">
        <v>665</v>
      </c>
      <c r="P355" s="141"/>
      <c r="Q355"/>
      <c r="R355" s="141"/>
      <c r="S355" s="141"/>
      <c r="T355" s="141"/>
      <c r="U355" s="141"/>
      <c r="V355" s="141"/>
      <c r="W355" s="141"/>
      <c r="X355" s="141"/>
      <c r="Y355" s="141"/>
      <c r="Z355" s="141"/>
      <c r="AA355" s="141"/>
      <c r="AB355" s="141"/>
      <c r="AC355"/>
      <c r="AD355"/>
    </row>
    <row r="356" spans="1:30">
      <c r="A356" t="str">
        <f t="shared" si="37"/>
        <v>10-24</v>
      </c>
      <c r="B356" t="str">
        <f t="shared" si="38"/>
        <v>AUD</v>
      </c>
      <c r="C356" s="138" t="s">
        <v>793</v>
      </c>
      <c r="D356" s="138">
        <v>1231024</v>
      </c>
      <c r="E356" s="138" t="s">
        <v>657</v>
      </c>
      <c r="F356" s="138" t="s">
        <v>1075</v>
      </c>
      <c r="G356" s="138" t="s">
        <v>1076</v>
      </c>
      <c r="H356" s="138" t="s">
        <v>145</v>
      </c>
      <c r="I356" s="138" t="s">
        <v>1288</v>
      </c>
      <c r="J356" s="138" t="s">
        <v>662</v>
      </c>
      <c r="K356" s="138" t="s">
        <v>1355</v>
      </c>
      <c r="L356" s="138" t="s">
        <v>112</v>
      </c>
      <c r="M356" s="138" t="s">
        <v>1356</v>
      </c>
      <c r="N356" s="138" t="s">
        <v>654</v>
      </c>
      <c r="O356" s="138" t="s">
        <v>665</v>
      </c>
      <c r="P356" s="141"/>
      <c r="Q356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  <c r="AB356" s="141"/>
      <c r="AC356"/>
      <c r="AD356"/>
    </row>
    <row r="357" spans="1:30">
      <c r="A357" t="str">
        <f t="shared" si="37"/>
        <v>10-24</v>
      </c>
      <c r="B357" t="str">
        <f t="shared" si="38"/>
        <v>AUD</v>
      </c>
      <c r="C357" s="138" t="s">
        <v>793</v>
      </c>
      <c r="D357" s="138">
        <v>1231024</v>
      </c>
      <c r="E357" s="138" t="s">
        <v>657</v>
      </c>
      <c r="F357" s="138" t="s">
        <v>794</v>
      </c>
      <c r="G357" s="138" t="s">
        <v>795</v>
      </c>
      <c r="H357" s="138" t="s">
        <v>145</v>
      </c>
      <c r="I357" s="138" t="s">
        <v>1294</v>
      </c>
      <c r="J357" s="138" t="s">
        <v>662</v>
      </c>
      <c r="K357" s="138" t="s">
        <v>1362</v>
      </c>
      <c r="L357" s="138" t="s">
        <v>51</v>
      </c>
      <c r="M357" s="138" t="s">
        <v>967</v>
      </c>
      <c r="N357" s="138" t="s">
        <v>654</v>
      </c>
      <c r="O357" s="138" t="s">
        <v>799</v>
      </c>
      <c r="P357" s="141"/>
      <c r="Q357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  <c r="AB357" s="141"/>
      <c r="AC357"/>
      <c r="AD357"/>
    </row>
    <row r="358" spans="1:30">
      <c r="A358" t="str">
        <f t="shared" si="37"/>
        <v>10-24</v>
      </c>
      <c r="B358" t="str">
        <f t="shared" si="38"/>
        <v>AUD</v>
      </c>
      <c r="C358" s="138" t="s">
        <v>793</v>
      </c>
      <c r="D358" s="138">
        <v>1231024</v>
      </c>
      <c r="E358" s="138" t="s">
        <v>657</v>
      </c>
      <c r="F358" s="138" t="s">
        <v>794</v>
      </c>
      <c r="G358" s="138" t="s">
        <v>795</v>
      </c>
      <c r="H358" s="138" t="s">
        <v>145</v>
      </c>
      <c r="I358" s="138" t="s">
        <v>1301</v>
      </c>
      <c r="J358" s="138" t="s">
        <v>662</v>
      </c>
      <c r="K358" s="138" t="s">
        <v>1369</v>
      </c>
      <c r="L358" s="138" t="s">
        <v>51</v>
      </c>
      <c r="M358" s="138" t="s">
        <v>967</v>
      </c>
      <c r="N358" s="138" t="s">
        <v>654</v>
      </c>
      <c r="O358" s="138" t="s">
        <v>799</v>
      </c>
      <c r="P358" s="141"/>
      <c r="Q358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  <c r="AB358" s="141"/>
      <c r="AC358"/>
      <c r="AD358"/>
    </row>
    <row r="359" spans="1:30">
      <c r="A359" t="str">
        <f t="shared" si="37"/>
        <v>10-24</v>
      </c>
      <c r="B359" t="str">
        <f t="shared" si="38"/>
        <v>AUD</v>
      </c>
      <c r="C359" s="138" t="s">
        <v>793</v>
      </c>
      <c r="D359" s="138">
        <v>1231024</v>
      </c>
      <c r="E359" s="138" t="s">
        <v>657</v>
      </c>
      <c r="F359" s="138" t="s">
        <v>794</v>
      </c>
      <c r="G359" s="138" t="s">
        <v>795</v>
      </c>
      <c r="H359" s="138" t="s">
        <v>145</v>
      </c>
      <c r="I359" s="138" t="s">
        <v>1295</v>
      </c>
      <c r="J359" s="138" t="s">
        <v>662</v>
      </c>
      <c r="K359" s="138" t="s">
        <v>1363</v>
      </c>
      <c r="L359" s="138" t="s">
        <v>64</v>
      </c>
      <c r="M359" s="138" t="s">
        <v>1254</v>
      </c>
      <c r="N359" s="138" t="s">
        <v>654</v>
      </c>
      <c r="O359" s="138" t="s">
        <v>799</v>
      </c>
      <c r="P359" s="141"/>
      <c r="Q359"/>
      <c r="R359" s="141"/>
      <c r="S359" s="141"/>
      <c r="T359" s="141"/>
      <c r="U359" s="141"/>
      <c r="V359" s="141"/>
      <c r="W359" s="141"/>
      <c r="X359" s="141"/>
      <c r="Y359" s="141"/>
      <c r="Z359" s="141"/>
      <c r="AA359" s="141"/>
      <c r="AB359" s="141"/>
      <c r="AC359"/>
      <c r="AD359"/>
    </row>
    <row r="360" spans="1:30">
      <c r="A360" t="str">
        <f t="shared" si="37"/>
        <v>10-24</v>
      </c>
      <c r="B360" t="str">
        <f t="shared" si="38"/>
        <v>AUD</v>
      </c>
      <c r="C360" s="138" t="s">
        <v>793</v>
      </c>
      <c r="D360" s="138">
        <v>1231024</v>
      </c>
      <c r="E360" s="138" t="s">
        <v>657</v>
      </c>
      <c r="F360" s="138" t="s">
        <v>794</v>
      </c>
      <c r="G360" s="138" t="s">
        <v>795</v>
      </c>
      <c r="H360" s="138" t="s">
        <v>145</v>
      </c>
      <c r="I360" s="138" t="s">
        <v>1302</v>
      </c>
      <c r="J360" s="138" t="s">
        <v>662</v>
      </c>
      <c r="K360" s="138" t="s">
        <v>1370</v>
      </c>
      <c r="L360" s="138" t="s">
        <v>64</v>
      </c>
      <c r="M360" s="138" t="s">
        <v>1254</v>
      </c>
      <c r="N360" s="138" t="s">
        <v>654</v>
      </c>
      <c r="O360" s="138" t="s">
        <v>799</v>
      </c>
      <c r="P360" s="141"/>
      <c r="Q360"/>
      <c r="R360" s="141"/>
      <c r="S360" s="141"/>
      <c r="T360" s="141"/>
      <c r="U360" s="141"/>
      <c r="V360" s="141"/>
      <c r="W360" s="141"/>
      <c r="X360" s="141"/>
      <c r="Y360" s="141"/>
      <c r="Z360" s="141"/>
      <c r="AA360" s="141"/>
      <c r="AB360" s="141"/>
      <c r="AC360"/>
      <c r="AD360"/>
    </row>
    <row r="361" spans="1:30">
      <c r="A361" t="str">
        <f t="shared" si="37"/>
        <v>10-24</v>
      </c>
      <c r="B361" t="str">
        <f t="shared" si="38"/>
        <v>AUD</v>
      </c>
      <c r="C361" s="138" t="s">
        <v>793</v>
      </c>
      <c r="D361" s="138">
        <v>1231024</v>
      </c>
      <c r="E361" s="138" t="s">
        <v>657</v>
      </c>
      <c r="F361" s="138" t="s">
        <v>794</v>
      </c>
      <c r="G361" s="138" t="s">
        <v>795</v>
      </c>
      <c r="H361" s="138" t="s">
        <v>145</v>
      </c>
      <c r="I361" s="138" t="s">
        <v>1296</v>
      </c>
      <c r="J361" s="138" t="s">
        <v>662</v>
      </c>
      <c r="K361" s="138" t="s">
        <v>1364</v>
      </c>
      <c r="L361" s="138" t="s">
        <v>51</v>
      </c>
      <c r="M361" s="138" t="s">
        <v>798</v>
      </c>
      <c r="N361" s="138" t="s">
        <v>654</v>
      </c>
      <c r="O361" s="138" t="s">
        <v>799</v>
      </c>
      <c r="P361" s="141"/>
      <c r="Q361"/>
      <c r="R361" s="141"/>
      <c r="S361" s="141"/>
      <c r="T361" s="141"/>
      <c r="U361" s="141"/>
      <c r="V361" s="141"/>
      <c r="W361" s="141"/>
      <c r="X361" s="141"/>
      <c r="Y361" s="141"/>
      <c r="Z361" s="141"/>
      <c r="AA361" s="141"/>
      <c r="AB361" s="141"/>
      <c r="AC361"/>
      <c r="AD361"/>
    </row>
    <row r="362" spans="1:30">
      <c r="A362" t="str">
        <f t="shared" si="37"/>
        <v>10-24</v>
      </c>
      <c r="B362" t="str">
        <f t="shared" si="38"/>
        <v>AUD</v>
      </c>
      <c r="C362" s="138" t="s">
        <v>793</v>
      </c>
      <c r="D362" s="138">
        <v>1231024</v>
      </c>
      <c r="E362" s="138" t="s">
        <v>657</v>
      </c>
      <c r="F362" s="138" t="s">
        <v>794</v>
      </c>
      <c r="G362" s="138" t="s">
        <v>795</v>
      </c>
      <c r="H362" s="138" t="s">
        <v>145</v>
      </c>
      <c r="I362" s="138" t="s">
        <v>1297</v>
      </c>
      <c r="J362" s="138" t="s">
        <v>662</v>
      </c>
      <c r="K362" s="138" t="s">
        <v>1365</v>
      </c>
      <c r="L362" s="138" t="s">
        <v>51</v>
      </c>
      <c r="M362" s="138" t="s">
        <v>1106</v>
      </c>
      <c r="N362" s="138" t="s">
        <v>654</v>
      </c>
      <c r="O362" s="138" t="s">
        <v>799</v>
      </c>
      <c r="P362" s="141"/>
      <c r="Q362"/>
      <c r="R362" s="141"/>
      <c r="S362" s="141"/>
      <c r="T362" s="141"/>
      <c r="U362" s="141"/>
      <c r="V362" s="141"/>
      <c r="W362" s="141"/>
      <c r="X362" s="141"/>
      <c r="Y362" s="141"/>
      <c r="Z362" s="141"/>
      <c r="AA362" s="141"/>
      <c r="AB362" s="141"/>
      <c r="AC362"/>
      <c r="AD362"/>
    </row>
    <row r="363" spans="1:30">
      <c r="A363" t="str">
        <f t="shared" si="37"/>
        <v>10-24</v>
      </c>
      <c r="B363" t="str">
        <f t="shared" si="38"/>
        <v>AUD</v>
      </c>
      <c r="C363" s="138" t="s">
        <v>793</v>
      </c>
      <c r="D363" s="138">
        <v>1231024</v>
      </c>
      <c r="E363" s="138" t="s">
        <v>657</v>
      </c>
      <c r="F363" s="138" t="s">
        <v>794</v>
      </c>
      <c r="G363" s="138" t="s">
        <v>795</v>
      </c>
      <c r="H363" s="138" t="s">
        <v>145</v>
      </c>
      <c r="I363" s="138" t="s">
        <v>1298</v>
      </c>
      <c r="J363" s="138" t="s">
        <v>662</v>
      </c>
      <c r="K363" s="138" t="s">
        <v>1366</v>
      </c>
      <c r="L363" s="138" t="s">
        <v>95</v>
      </c>
      <c r="M363" s="138" t="s">
        <v>664</v>
      </c>
      <c r="N363" s="138" t="s">
        <v>654</v>
      </c>
      <c r="O363" s="138" t="s">
        <v>665</v>
      </c>
      <c r="P363" s="141"/>
      <c r="Q363"/>
      <c r="R363" s="141"/>
      <c r="S363" s="141"/>
      <c r="T363" s="141"/>
      <c r="U363" s="141"/>
      <c r="V363" s="141"/>
      <c r="W363" s="141"/>
      <c r="X363" s="141"/>
      <c r="Y363" s="141"/>
      <c r="Z363" s="141"/>
      <c r="AA363" s="141"/>
      <c r="AB363" s="141"/>
      <c r="AC363"/>
      <c r="AD363"/>
    </row>
    <row r="364" spans="1:30">
      <c r="A364" t="str">
        <f t="shared" si="37"/>
        <v>10-24</v>
      </c>
      <c r="B364" t="str">
        <f t="shared" si="38"/>
        <v>AUD</v>
      </c>
      <c r="C364" s="138" t="s">
        <v>793</v>
      </c>
      <c r="D364" s="138">
        <v>1231024</v>
      </c>
      <c r="E364" s="138" t="s">
        <v>657</v>
      </c>
      <c r="F364" s="138" t="s">
        <v>794</v>
      </c>
      <c r="G364" s="138" t="s">
        <v>795</v>
      </c>
      <c r="H364" s="138" t="s">
        <v>145</v>
      </c>
      <c r="I364" s="138" t="s">
        <v>1303</v>
      </c>
      <c r="J364" s="138" t="s">
        <v>662</v>
      </c>
      <c r="K364" s="138" t="s">
        <v>1371</v>
      </c>
      <c r="L364" s="138" t="s">
        <v>95</v>
      </c>
      <c r="M364" s="138" t="s">
        <v>664</v>
      </c>
      <c r="N364" s="138" t="s">
        <v>654</v>
      </c>
      <c r="O364" s="138" t="s">
        <v>665</v>
      </c>
      <c r="P364" s="141"/>
      <c r="Q364"/>
      <c r="R364" s="141"/>
      <c r="S364" s="141"/>
      <c r="T364" s="141"/>
      <c r="U364" s="141"/>
      <c r="V364" s="141"/>
      <c r="W364" s="141"/>
      <c r="X364" s="141"/>
      <c r="Y364" s="141"/>
      <c r="Z364" s="141"/>
      <c r="AA364" s="141"/>
      <c r="AB364" s="141"/>
      <c r="AC364"/>
      <c r="AD364"/>
    </row>
    <row r="365" spans="1:30">
      <c r="A365" t="str">
        <f t="shared" si="37"/>
        <v>10-24</v>
      </c>
      <c r="B365" t="str">
        <f t="shared" si="38"/>
        <v>AUD</v>
      </c>
      <c r="C365" s="138" t="s">
        <v>793</v>
      </c>
      <c r="D365" s="138">
        <v>1231024</v>
      </c>
      <c r="E365" s="138" t="s">
        <v>657</v>
      </c>
      <c r="F365" s="138" t="s">
        <v>794</v>
      </c>
      <c r="G365" s="138" t="s">
        <v>795</v>
      </c>
      <c r="H365" s="138" t="s">
        <v>145</v>
      </c>
      <c r="I365" s="138" t="s">
        <v>1299</v>
      </c>
      <c r="J365" s="138" t="s">
        <v>662</v>
      </c>
      <c r="K365" s="138" t="s">
        <v>1367</v>
      </c>
      <c r="L365" s="138" t="s">
        <v>95</v>
      </c>
      <c r="M365" s="138" t="s">
        <v>682</v>
      </c>
      <c r="N365" s="138" t="s">
        <v>654</v>
      </c>
      <c r="O365" s="138" t="s">
        <v>665</v>
      </c>
      <c r="P365" s="141"/>
      <c r="Q365"/>
      <c r="R365" s="141"/>
      <c r="S365" s="141"/>
      <c r="T365" s="141"/>
      <c r="U365" s="141"/>
      <c r="V365" s="141"/>
      <c r="W365" s="141"/>
      <c r="X365" s="141"/>
      <c r="Y365" s="141"/>
      <c r="Z365" s="141"/>
      <c r="AA365" s="141"/>
      <c r="AB365" s="141"/>
      <c r="AC365"/>
      <c r="AD365"/>
    </row>
    <row r="366" spans="1:30">
      <c r="A366" t="str">
        <f t="shared" si="37"/>
        <v>10-24</v>
      </c>
      <c r="B366" t="str">
        <f t="shared" si="38"/>
        <v>AUD</v>
      </c>
      <c r="C366" s="138" t="s">
        <v>793</v>
      </c>
      <c r="D366" s="138">
        <v>1231024</v>
      </c>
      <c r="E366" s="138" t="s">
        <v>657</v>
      </c>
      <c r="F366" s="138" t="s">
        <v>794</v>
      </c>
      <c r="G366" s="138" t="s">
        <v>795</v>
      </c>
      <c r="H366" s="138" t="s">
        <v>145</v>
      </c>
      <c r="I366" s="138" t="s">
        <v>1300</v>
      </c>
      <c r="J366" s="138" t="s">
        <v>662</v>
      </c>
      <c r="K366" s="138" t="s">
        <v>1368</v>
      </c>
      <c r="L366" s="138" t="s">
        <v>112</v>
      </c>
      <c r="M366" s="138" t="s">
        <v>1356</v>
      </c>
      <c r="N366" s="138" t="s">
        <v>654</v>
      </c>
      <c r="O366" s="138" t="s">
        <v>665</v>
      </c>
      <c r="P366" s="141"/>
      <c r="Q366"/>
      <c r="R366" s="141"/>
      <c r="S366" s="141"/>
      <c r="T366" s="141"/>
      <c r="U366" s="141"/>
      <c r="V366" s="141"/>
      <c r="W366" s="141"/>
      <c r="X366" s="141"/>
      <c r="Y366" s="141"/>
      <c r="Z366" s="141"/>
      <c r="AA366" s="141"/>
      <c r="AB366" s="141"/>
      <c r="AC366"/>
      <c r="AD366"/>
    </row>
    <row r="367" spans="1:30">
      <c r="A367" t="str">
        <f t="shared" si="37"/>
        <v>10-24</v>
      </c>
      <c r="B367" t="str">
        <f t="shared" si="38"/>
        <v>AUD</v>
      </c>
      <c r="C367" s="138" t="s">
        <v>793</v>
      </c>
      <c r="D367" s="138">
        <v>1231024</v>
      </c>
      <c r="E367" s="138" t="s">
        <v>657</v>
      </c>
      <c r="F367" s="138" t="s">
        <v>794</v>
      </c>
      <c r="G367" s="138" t="s">
        <v>795</v>
      </c>
      <c r="H367" s="138" t="s">
        <v>145</v>
      </c>
      <c r="I367" s="138" t="s">
        <v>1304</v>
      </c>
      <c r="J367" s="138" t="s">
        <v>662</v>
      </c>
      <c r="K367" s="138" t="s">
        <v>1372</v>
      </c>
      <c r="L367" s="138" t="s">
        <v>112</v>
      </c>
      <c r="M367" s="138" t="s">
        <v>1356</v>
      </c>
      <c r="N367" s="138" t="s">
        <v>654</v>
      </c>
      <c r="O367" s="138" t="s">
        <v>665</v>
      </c>
      <c r="P367" s="141"/>
      <c r="Q367"/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  <c r="AB367" s="141"/>
      <c r="AC367"/>
      <c r="AD367"/>
    </row>
    <row r="368" spans="1:30">
      <c r="A368" t="str">
        <f t="shared" si="37"/>
        <v>10-25</v>
      </c>
      <c r="B368" t="str">
        <f t="shared" si="38"/>
        <v>AUD</v>
      </c>
      <c r="C368" s="138" t="s">
        <v>793</v>
      </c>
      <c r="D368" s="138">
        <v>1231025</v>
      </c>
      <c r="E368" s="138" t="s">
        <v>657</v>
      </c>
      <c r="F368" s="138" t="s">
        <v>1075</v>
      </c>
      <c r="G368" s="138" t="s">
        <v>1076</v>
      </c>
      <c r="H368" s="138" t="s">
        <v>145</v>
      </c>
      <c r="I368" s="138" t="s">
        <v>1305</v>
      </c>
      <c r="J368" s="138" t="s">
        <v>662</v>
      </c>
      <c r="K368" s="138" t="s">
        <v>1373</v>
      </c>
      <c r="L368" s="138" t="s">
        <v>51</v>
      </c>
      <c r="M368" s="138" t="s">
        <v>1106</v>
      </c>
      <c r="N368" s="138" t="s">
        <v>654</v>
      </c>
      <c r="O368" s="138" t="s">
        <v>799</v>
      </c>
      <c r="P368" s="141"/>
      <c r="Q368"/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  <c r="AB368" s="141"/>
      <c r="AC368"/>
      <c r="AD368"/>
    </row>
    <row r="369" spans="1:30">
      <c r="A369" t="str">
        <f t="shared" si="37"/>
        <v>10-25</v>
      </c>
      <c r="B369" t="str">
        <f t="shared" si="38"/>
        <v>AUD</v>
      </c>
      <c r="C369" s="138" t="s">
        <v>793</v>
      </c>
      <c r="D369" s="138">
        <v>1231025</v>
      </c>
      <c r="E369" s="138" t="s">
        <v>657</v>
      </c>
      <c r="F369" s="138" t="s">
        <v>819</v>
      </c>
      <c r="G369" s="138" t="s">
        <v>820</v>
      </c>
      <c r="H369" s="138" t="s">
        <v>145</v>
      </c>
      <c r="I369" s="138" t="s">
        <v>1306</v>
      </c>
      <c r="J369" s="138" t="s">
        <v>662</v>
      </c>
      <c r="K369" s="138" t="s">
        <v>1374</v>
      </c>
      <c r="L369" s="138" t="s">
        <v>51</v>
      </c>
      <c r="M369" s="138" t="s">
        <v>967</v>
      </c>
      <c r="N369" s="138" t="s">
        <v>654</v>
      </c>
      <c r="O369" s="138" t="s">
        <v>799</v>
      </c>
      <c r="P369" s="141"/>
      <c r="Q369"/>
      <c r="R369" s="141"/>
      <c r="S369" s="141"/>
      <c r="T369" s="141"/>
      <c r="U369" s="141"/>
      <c r="V369" s="141"/>
      <c r="W369" s="141"/>
      <c r="X369" s="141"/>
      <c r="Y369" s="141"/>
      <c r="Z369" s="141"/>
      <c r="AA369" s="141"/>
      <c r="AB369" s="141"/>
      <c r="AC369"/>
      <c r="AD369"/>
    </row>
    <row r="370" spans="1:30">
      <c r="A370" t="str">
        <f t="shared" si="37"/>
        <v>10-25</v>
      </c>
      <c r="B370" t="str">
        <f t="shared" si="38"/>
        <v>AUD</v>
      </c>
      <c r="C370" s="138" t="s">
        <v>793</v>
      </c>
      <c r="D370" s="138">
        <v>1231025</v>
      </c>
      <c r="E370" s="138" t="s">
        <v>657</v>
      </c>
      <c r="F370" s="138" t="s">
        <v>819</v>
      </c>
      <c r="G370" s="138" t="s">
        <v>820</v>
      </c>
      <c r="H370" s="138" t="s">
        <v>145</v>
      </c>
      <c r="I370" s="138" t="s">
        <v>1307</v>
      </c>
      <c r="J370" s="138" t="s">
        <v>662</v>
      </c>
      <c r="K370" s="138" t="s">
        <v>1374</v>
      </c>
      <c r="L370" s="138" t="s">
        <v>51</v>
      </c>
      <c r="M370" s="138" t="s">
        <v>967</v>
      </c>
      <c r="N370" s="138" t="s">
        <v>654</v>
      </c>
      <c r="O370" s="138" t="s">
        <v>799</v>
      </c>
      <c r="P370" s="141"/>
      <c r="Q370"/>
      <c r="R370" s="141"/>
      <c r="S370" s="141"/>
      <c r="T370" s="141"/>
      <c r="U370" s="141"/>
      <c r="V370" s="141"/>
      <c r="W370" s="141"/>
      <c r="X370" s="141"/>
      <c r="Y370" s="141"/>
      <c r="Z370" s="141"/>
      <c r="AA370" s="141"/>
      <c r="AB370" s="141"/>
      <c r="AC370"/>
      <c r="AD370"/>
    </row>
    <row r="371" spans="1:30">
      <c r="A371" t="str">
        <f t="shared" si="37"/>
        <v>10-25</v>
      </c>
      <c r="B371" t="str">
        <f t="shared" si="38"/>
        <v>AUD</v>
      </c>
      <c r="C371" s="138" t="s">
        <v>793</v>
      </c>
      <c r="D371" s="138">
        <v>1231025</v>
      </c>
      <c r="E371" s="138" t="s">
        <v>657</v>
      </c>
      <c r="F371" s="138" t="s">
        <v>819</v>
      </c>
      <c r="G371" s="138" t="s">
        <v>820</v>
      </c>
      <c r="H371" s="138" t="s">
        <v>145</v>
      </c>
      <c r="I371" s="138" t="s">
        <v>1308</v>
      </c>
      <c r="J371" s="138" t="s">
        <v>662</v>
      </c>
      <c r="K371" s="138" t="s">
        <v>1375</v>
      </c>
      <c r="L371" s="138" t="s">
        <v>64</v>
      </c>
      <c r="M371" s="138" t="s">
        <v>1254</v>
      </c>
      <c r="N371" s="138" t="s">
        <v>654</v>
      </c>
      <c r="O371" s="138" t="s">
        <v>799</v>
      </c>
      <c r="P371" s="141"/>
      <c r="Q371"/>
      <c r="R371" s="141"/>
      <c r="S371" s="141"/>
      <c r="T371" s="141"/>
      <c r="U371" s="141"/>
      <c r="V371" s="141"/>
      <c r="W371" s="141"/>
      <c r="X371" s="141"/>
      <c r="Y371" s="141"/>
      <c r="Z371" s="141"/>
      <c r="AA371" s="141"/>
      <c r="AB371" s="141"/>
      <c r="AC371"/>
      <c r="AD371"/>
    </row>
    <row r="372" spans="1:30">
      <c r="A372" t="str">
        <f t="shared" si="37"/>
        <v>10-25</v>
      </c>
      <c r="B372" t="str">
        <f t="shared" si="38"/>
        <v>AUD</v>
      </c>
      <c r="C372" s="138" t="s">
        <v>793</v>
      </c>
      <c r="D372" s="138">
        <v>1231025</v>
      </c>
      <c r="E372" s="138" t="s">
        <v>657</v>
      </c>
      <c r="F372" s="138" t="s">
        <v>819</v>
      </c>
      <c r="G372" s="138" t="s">
        <v>820</v>
      </c>
      <c r="H372" s="138" t="s">
        <v>145</v>
      </c>
      <c r="I372" s="138" t="s">
        <v>1309</v>
      </c>
      <c r="J372" s="138" t="s">
        <v>662</v>
      </c>
      <c r="K372" s="138" t="s">
        <v>1375</v>
      </c>
      <c r="L372" s="138" t="s">
        <v>64</v>
      </c>
      <c r="M372" s="138" t="s">
        <v>1254</v>
      </c>
      <c r="N372" s="138" t="s">
        <v>654</v>
      </c>
      <c r="O372" s="138" t="s">
        <v>799</v>
      </c>
      <c r="P372" s="141"/>
      <c r="Q372"/>
      <c r="R372" s="141"/>
      <c r="S372" s="141"/>
      <c r="T372" s="141"/>
      <c r="U372" s="141"/>
      <c r="V372" s="141"/>
      <c r="W372" s="141"/>
      <c r="X372" s="141"/>
      <c r="Y372" s="141"/>
      <c r="Z372" s="141"/>
      <c r="AA372" s="141"/>
      <c r="AB372" s="141"/>
      <c r="AC372"/>
      <c r="AD372"/>
    </row>
    <row r="373" spans="1:30">
      <c r="A373" t="str">
        <f t="shared" si="37"/>
        <v>10-25</v>
      </c>
      <c r="B373" t="str">
        <f t="shared" si="38"/>
        <v>AUD</v>
      </c>
      <c r="C373" s="138" t="s">
        <v>793</v>
      </c>
      <c r="D373" s="138">
        <v>1231025</v>
      </c>
      <c r="E373" s="138" t="s">
        <v>657</v>
      </c>
      <c r="F373" s="138" t="s">
        <v>819</v>
      </c>
      <c r="G373" s="138" t="s">
        <v>820</v>
      </c>
      <c r="H373" s="138" t="s">
        <v>145</v>
      </c>
      <c r="I373" s="138" t="s">
        <v>1310</v>
      </c>
      <c r="J373" s="138" t="s">
        <v>662</v>
      </c>
      <c r="K373" s="138" t="s">
        <v>1376</v>
      </c>
      <c r="L373" s="138" t="s">
        <v>51</v>
      </c>
      <c r="M373" s="138" t="s">
        <v>798</v>
      </c>
      <c r="N373" s="138" t="s">
        <v>654</v>
      </c>
      <c r="O373" s="138" t="s">
        <v>799</v>
      </c>
      <c r="P373" s="141"/>
      <c r="Q373"/>
      <c r="R373" s="141"/>
      <c r="S373" s="141"/>
      <c r="T373" s="141"/>
      <c r="U373" s="141"/>
      <c r="V373" s="141"/>
      <c r="W373" s="141"/>
      <c r="X373" s="141"/>
      <c r="Y373" s="141"/>
      <c r="Z373" s="141"/>
      <c r="AA373" s="141"/>
      <c r="AB373" s="141"/>
      <c r="AC373"/>
      <c r="AD373"/>
    </row>
    <row r="374" spans="1:30">
      <c r="A374" t="str">
        <f t="shared" si="37"/>
        <v>10-25</v>
      </c>
      <c r="B374" t="str">
        <f t="shared" si="38"/>
        <v>AUD</v>
      </c>
      <c r="C374" s="138" t="s">
        <v>793</v>
      </c>
      <c r="D374" s="138">
        <v>1231025</v>
      </c>
      <c r="E374" s="138" t="s">
        <v>657</v>
      </c>
      <c r="F374" s="138" t="s">
        <v>819</v>
      </c>
      <c r="G374" s="138" t="s">
        <v>820</v>
      </c>
      <c r="H374" s="138" t="s">
        <v>145</v>
      </c>
      <c r="I374" s="138" t="s">
        <v>1311</v>
      </c>
      <c r="J374" s="138" t="s">
        <v>662</v>
      </c>
      <c r="K374" s="138" t="s">
        <v>1376</v>
      </c>
      <c r="L374" s="138" t="s">
        <v>51</v>
      </c>
      <c r="M374" s="138" t="s">
        <v>798</v>
      </c>
      <c r="N374" s="138" t="s">
        <v>654</v>
      </c>
      <c r="O374" s="138" t="s">
        <v>799</v>
      </c>
      <c r="P374" s="141"/>
      <c r="Q374"/>
      <c r="R374" s="141"/>
      <c r="S374" s="141"/>
      <c r="T374" s="141"/>
      <c r="U374" s="141"/>
      <c r="V374" s="141"/>
      <c r="W374" s="141"/>
      <c r="X374" s="141"/>
      <c r="Y374" s="141"/>
      <c r="Z374" s="141"/>
      <c r="AA374" s="141"/>
      <c r="AB374" s="141"/>
      <c r="AC374"/>
      <c r="AD374"/>
    </row>
    <row r="375" spans="1:30">
      <c r="A375" t="str">
        <f t="shared" si="37"/>
        <v>10-25</v>
      </c>
      <c r="B375" t="str">
        <f t="shared" si="38"/>
        <v>AUD</v>
      </c>
      <c r="C375" s="138" t="s">
        <v>793</v>
      </c>
      <c r="D375" s="138">
        <v>1231025</v>
      </c>
      <c r="E375" s="138" t="s">
        <v>657</v>
      </c>
      <c r="F375" s="138" t="s">
        <v>819</v>
      </c>
      <c r="G375" s="138" t="s">
        <v>820</v>
      </c>
      <c r="H375" s="138" t="s">
        <v>145</v>
      </c>
      <c r="I375" s="138" t="s">
        <v>1312</v>
      </c>
      <c r="J375" s="138" t="s">
        <v>662</v>
      </c>
      <c r="K375" s="138" t="s">
        <v>1376</v>
      </c>
      <c r="L375" s="138" t="s">
        <v>51</v>
      </c>
      <c r="M375" s="138" t="s">
        <v>798</v>
      </c>
      <c r="N375" s="138" t="s">
        <v>654</v>
      </c>
      <c r="O375" s="138" t="s">
        <v>799</v>
      </c>
      <c r="P375" s="141"/>
      <c r="Q375"/>
      <c r="R375" s="141"/>
      <c r="S375" s="141"/>
      <c r="T375" s="141"/>
      <c r="U375" s="141"/>
      <c r="V375" s="141"/>
      <c r="W375" s="141"/>
      <c r="X375" s="141"/>
      <c r="Y375" s="141"/>
      <c r="Z375" s="141"/>
      <c r="AA375" s="141"/>
      <c r="AB375" s="141"/>
      <c r="AC375"/>
      <c r="AD375"/>
    </row>
    <row r="376" spans="1:30">
      <c r="A376" t="str">
        <f t="shared" si="37"/>
        <v>10-25</v>
      </c>
      <c r="B376" t="str">
        <f t="shared" si="38"/>
        <v>AUD</v>
      </c>
      <c r="C376" s="138" t="s">
        <v>793</v>
      </c>
      <c r="D376" s="138">
        <v>1231025</v>
      </c>
      <c r="E376" s="138" t="s">
        <v>657</v>
      </c>
      <c r="F376" s="138" t="s">
        <v>819</v>
      </c>
      <c r="G376" s="138" t="s">
        <v>820</v>
      </c>
      <c r="H376" s="138" t="s">
        <v>145</v>
      </c>
      <c r="I376" s="138" t="s">
        <v>1313</v>
      </c>
      <c r="J376" s="138" t="s">
        <v>662</v>
      </c>
      <c r="K376" s="138" t="s">
        <v>1377</v>
      </c>
      <c r="L376" s="138" t="s">
        <v>51</v>
      </c>
      <c r="M376" s="138" t="s">
        <v>1106</v>
      </c>
      <c r="N376" s="138" t="s">
        <v>654</v>
      </c>
      <c r="O376" s="138" t="s">
        <v>799</v>
      </c>
      <c r="P376" s="141"/>
      <c r="Q376"/>
      <c r="R376" s="141"/>
      <c r="S376" s="141"/>
      <c r="T376" s="141"/>
      <c r="U376" s="141"/>
      <c r="V376" s="141"/>
      <c r="W376" s="141"/>
      <c r="X376" s="141"/>
      <c r="Y376" s="141"/>
      <c r="Z376" s="141"/>
      <c r="AA376" s="141"/>
      <c r="AB376" s="141"/>
      <c r="AC376"/>
      <c r="AD376"/>
    </row>
    <row r="377" spans="1:30">
      <c r="A377" t="str">
        <f t="shared" si="37"/>
        <v>10-25</v>
      </c>
      <c r="B377" t="str">
        <f t="shared" si="38"/>
        <v>AUD</v>
      </c>
      <c r="C377" s="138" t="s">
        <v>793</v>
      </c>
      <c r="D377" s="138">
        <v>1231025</v>
      </c>
      <c r="E377" s="138" t="s">
        <v>657</v>
      </c>
      <c r="F377" s="138" t="s">
        <v>819</v>
      </c>
      <c r="G377" s="138" t="s">
        <v>820</v>
      </c>
      <c r="H377" s="138" t="s">
        <v>145</v>
      </c>
      <c r="I377" s="138" t="s">
        <v>1314</v>
      </c>
      <c r="J377" s="138" t="s">
        <v>662</v>
      </c>
      <c r="K377" s="138" t="s">
        <v>1378</v>
      </c>
      <c r="L377" s="138" t="s">
        <v>95</v>
      </c>
      <c r="M377" s="138" t="s">
        <v>664</v>
      </c>
      <c r="N377" s="138" t="s">
        <v>654</v>
      </c>
      <c r="O377" s="138" t="s">
        <v>665</v>
      </c>
      <c r="P377" s="141"/>
      <c r="Q377"/>
      <c r="R377" s="141"/>
      <c r="S377" s="141"/>
      <c r="T377" s="141"/>
      <c r="U377" s="141"/>
      <c r="V377" s="141"/>
      <c r="W377" s="141"/>
      <c r="X377" s="141"/>
      <c r="Y377" s="141"/>
      <c r="Z377" s="141"/>
      <c r="AA377" s="141"/>
      <c r="AB377" s="141"/>
      <c r="AC377"/>
      <c r="AD377"/>
    </row>
    <row r="378" spans="1:30">
      <c r="A378" t="str">
        <f t="shared" si="37"/>
        <v>10-25</v>
      </c>
      <c r="B378" t="str">
        <f t="shared" si="38"/>
        <v>AUD</v>
      </c>
      <c r="C378" s="138" t="s">
        <v>793</v>
      </c>
      <c r="D378" s="138">
        <v>1231025</v>
      </c>
      <c r="E378" s="138" t="s">
        <v>657</v>
      </c>
      <c r="F378" s="138" t="s">
        <v>819</v>
      </c>
      <c r="G378" s="138" t="s">
        <v>820</v>
      </c>
      <c r="H378" s="138" t="s">
        <v>145</v>
      </c>
      <c r="I378" s="138" t="s">
        <v>1315</v>
      </c>
      <c r="J378" s="138" t="s">
        <v>662</v>
      </c>
      <c r="K378" s="138" t="s">
        <v>1378</v>
      </c>
      <c r="L378" s="138" t="s">
        <v>95</v>
      </c>
      <c r="M378" s="138" t="s">
        <v>664</v>
      </c>
      <c r="N378" s="138" t="s">
        <v>654</v>
      </c>
      <c r="O378" s="138" t="s">
        <v>665</v>
      </c>
      <c r="P378" s="141"/>
      <c r="Q378"/>
      <c r="R378" s="141"/>
      <c r="S378" s="141"/>
      <c r="T378" s="141"/>
      <c r="U378" s="141"/>
      <c r="V378" s="141"/>
      <c r="W378" s="141"/>
      <c r="X378" s="141"/>
      <c r="Y378" s="141"/>
      <c r="Z378" s="141"/>
      <c r="AA378" s="141"/>
      <c r="AB378" s="141"/>
      <c r="AC378"/>
      <c r="AD378"/>
    </row>
    <row r="379" spans="1:30">
      <c r="A379" t="str">
        <f t="shared" si="37"/>
        <v>10-25</v>
      </c>
      <c r="B379" t="str">
        <f t="shared" si="38"/>
        <v>AUD</v>
      </c>
      <c r="C379" s="138" t="s">
        <v>793</v>
      </c>
      <c r="D379" s="138">
        <v>1231025</v>
      </c>
      <c r="E379" s="138" t="s">
        <v>657</v>
      </c>
      <c r="F379" s="138" t="s">
        <v>819</v>
      </c>
      <c r="G379" s="138" t="s">
        <v>820</v>
      </c>
      <c r="H379" s="138" t="s">
        <v>145</v>
      </c>
      <c r="I379" s="138" t="s">
        <v>1316</v>
      </c>
      <c r="J379" s="138" t="s">
        <v>662</v>
      </c>
      <c r="K379" s="138" t="s">
        <v>1379</v>
      </c>
      <c r="L379" s="138" t="s">
        <v>95</v>
      </c>
      <c r="M379" s="138" t="s">
        <v>682</v>
      </c>
      <c r="N379" s="138" t="s">
        <v>654</v>
      </c>
      <c r="O379" s="138" t="s">
        <v>665</v>
      </c>
      <c r="P379" s="141"/>
      <c r="Q379"/>
      <c r="R379" s="141"/>
      <c r="S379" s="141"/>
      <c r="T379" s="141"/>
      <c r="U379" s="141"/>
      <c r="V379" s="141"/>
      <c r="W379" s="141"/>
      <c r="X379" s="141"/>
      <c r="Y379" s="141"/>
      <c r="Z379" s="141"/>
      <c r="AA379" s="141"/>
      <c r="AB379" s="141"/>
      <c r="AC379"/>
      <c r="AD379"/>
    </row>
    <row r="380" spans="1:30">
      <c r="A380" t="str">
        <f t="shared" si="37"/>
        <v>10-25</v>
      </c>
      <c r="B380" t="str">
        <f t="shared" si="38"/>
        <v>AUD</v>
      </c>
      <c r="C380" s="138" t="s">
        <v>793</v>
      </c>
      <c r="D380" s="138">
        <v>1231025</v>
      </c>
      <c r="E380" s="138" t="s">
        <v>657</v>
      </c>
      <c r="F380" s="138" t="s">
        <v>819</v>
      </c>
      <c r="G380" s="138" t="s">
        <v>820</v>
      </c>
      <c r="H380" s="138" t="s">
        <v>145</v>
      </c>
      <c r="I380" s="138" t="s">
        <v>1317</v>
      </c>
      <c r="J380" s="138" t="s">
        <v>662</v>
      </c>
      <c r="K380" s="138" t="s">
        <v>1379</v>
      </c>
      <c r="L380" s="138" t="s">
        <v>95</v>
      </c>
      <c r="M380" s="138" t="s">
        <v>682</v>
      </c>
      <c r="N380" s="138" t="s">
        <v>654</v>
      </c>
      <c r="O380" s="138" t="s">
        <v>665</v>
      </c>
      <c r="P380" s="141"/>
      <c r="Q380"/>
      <c r="R380" s="141"/>
      <c r="S380" s="141"/>
      <c r="T380" s="141"/>
      <c r="U380" s="141"/>
      <c r="V380" s="141"/>
      <c r="W380" s="141"/>
      <c r="X380" s="141"/>
      <c r="Y380" s="141"/>
      <c r="Z380" s="141"/>
      <c r="AA380" s="141"/>
      <c r="AB380" s="141"/>
      <c r="AC380"/>
      <c r="AD380"/>
    </row>
    <row r="381" spans="1:30">
      <c r="A381" t="str">
        <f t="shared" si="37"/>
        <v>10-25</v>
      </c>
      <c r="B381" t="str">
        <f t="shared" si="38"/>
        <v>AUD</v>
      </c>
      <c r="C381" s="138" t="s">
        <v>793</v>
      </c>
      <c r="D381" s="138">
        <v>1231025</v>
      </c>
      <c r="E381" s="138" t="s">
        <v>657</v>
      </c>
      <c r="F381" s="138" t="s">
        <v>819</v>
      </c>
      <c r="G381" s="138" t="s">
        <v>820</v>
      </c>
      <c r="H381" s="138" t="s">
        <v>145</v>
      </c>
      <c r="I381" s="138" t="s">
        <v>1318</v>
      </c>
      <c r="J381" s="138" t="s">
        <v>662</v>
      </c>
      <c r="K381" s="138" t="s">
        <v>1380</v>
      </c>
      <c r="L381" s="138" t="s">
        <v>112</v>
      </c>
      <c r="M381" s="138" t="s">
        <v>1356</v>
      </c>
      <c r="N381" s="138" t="s">
        <v>654</v>
      </c>
      <c r="O381" s="138" t="s">
        <v>665</v>
      </c>
      <c r="P381" s="141"/>
      <c r="Q381"/>
      <c r="R381" s="141"/>
      <c r="S381" s="141"/>
      <c r="T381" s="141"/>
      <c r="U381" s="141"/>
      <c r="V381" s="141"/>
      <c r="W381" s="141"/>
      <c r="X381" s="141"/>
      <c r="Y381" s="141"/>
      <c r="Z381" s="141"/>
      <c r="AA381" s="141"/>
      <c r="AB381" s="141"/>
      <c r="AC381"/>
      <c r="AD381"/>
    </row>
    <row r="382" spans="1:30">
      <c r="A382" t="str">
        <f t="shared" si="37"/>
        <v>10-25</v>
      </c>
      <c r="B382" t="str">
        <f t="shared" si="38"/>
        <v>AUD</v>
      </c>
      <c r="C382" s="138" t="s">
        <v>793</v>
      </c>
      <c r="D382" s="138">
        <v>1231025</v>
      </c>
      <c r="E382" s="138" t="s">
        <v>657</v>
      </c>
      <c r="F382" s="138" t="s">
        <v>819</v>
      </c>
      <c r="G382" s="138" t="s">
        <v>820</v>
      </c>
      <c r="H382" s="138" t="s">
        <v>145</v>
      </c>
      <c r="I382" s="138" t="s">
        <v>1319</v>
      </c>
      <c r="J382" s="138" t="s">
        <v>662</v>
      </c>
      <c r="K382" s="138" t="s">
        <v>1380</v>
      </c>
      <c r="L382" s="138" t="s">
        <v>112</v>
      </c>
      <c r="M382" s="138" t="s">
        <v>1356</v>
      </c>
      <c r="N382" s="138" t="s">
        <v>654</v>
      </c>
      <c r="O382" s="138" t="s">
        <v>665</v>
      </c>
      <c r="P382" s="141"/>
      <c r="Q382"/>
      <c r="R382" s="141"/>
      <c r="S382" s="141"/>
      <c r="T382" s="141"/>
      <c r="U382" s="141"/>
      <c r="V382" s="141"/>
      <c r="W382" s="141"/>
      <c r="X382" s="141"/>
      <c r="Y382" s="141"/>
      <c r="Z382" s="141"/>
      <c r="AA382" s="141"/>
      <c r="AB382" s="141"/>
      <c r="AC382"/>
      <c r="AD382"/>
    </row>
    <row r="383" spans="1:30">
      <c r="A383" t="str">
        <f t="shared" si="37"/>
        <v>10-26</v>
      </c>
      <c r="B383" t="str">
        <f t="shared" si="38"/>
        <v>AUD</v>
      </c>
      <c r="C383" s="138" t="s">
        <v>793</v>
      </c>
      <c r="D383" s="138">
        <v>1231026</v>
      </c>
      <c r="E383" s="138" t="s">
        <v>657</v>
      </c>
      <c r="F383" s="138" t="s">
        <v>794</v>
      </c>
      <c r="G383" s="138" t="s">
        <v>795</v>
      </c>
      <c r="H383" s="138" t="s">
        <v>145</v>
      </c>
      <c r="I383" s="138" t="s">
        <v>1320</v>
      </c>
      <c r="J383" s="138" t="s">
        <v>662</v>
      </c>
      <c r="K383" s="138" t="s">
        <v>1381</v>
      </c>
      <c r="L383" s="138" t="s">
        <v>51</v>
      </c>
      <c r="M383" s="138" t="s">
        <v>1106</v>
      </c>
      <c r="N383" s="138" t="s">
        <v>654</v>
      </c>
      <c r="O383" s="138" t="s">
        <v>799</v>
      </c>
      <c r="P383" s="141"/>
      <c r="Q383"/>
      <c r="R383" s="141"/>
      <c r="S383" s="141"/>
      <c r="T383" s="141"/>
      <c r="U383" s="141"/>
      <c r="V383" s="141"/>
      <c r="W383" s="141"/>
      <c r="X383" s="141"/>
      <c r="Y383" s="141"/>
      <c r="Z383" s="141"/>
      <c r="AA383" s="141"/>
      <c r="AB383" s="141"/>
      <c r="AC383"/>
      <c r="AD383"/>
    </row>
    <row r="384" spans="1:30">
      <c r="A384" t="str">
        <f t="shared" si="37"/>
        <v>10-26</v>
      </c>
      <c r="B384" t="str">
        <f t="shared" si="38"/>
        <v>AUD</v>
      </c>
      <c r="C384" s="138" t="s">
        <v>793</v>
      </c>
      <c r="D384" s="138">
        <v>1231026</v>
      </c>
      <c r="E384" s="138" t="s">
        <v>657</v>
      </c>
      <c r="F384" s="138" t="s">
        <v>819</v>
      </c>
      <c r="G384" s="138" t="s">
        <v>820</v>
      </c>
      <c r="H384" s="138" t="s">
        <v>145</v>
      </c>
      <c r="I384" s="138" t="s">
        <v>1321</v>
      </c>
      <c r="J384" s="138" t="s">
        <v>662</v>
      </c>
      <c r="K384" s="138" t="s">
        <v>1382</v>
      </c>
      <c r="L384" s="138" t="s">
        <v>51</v>
      </c>
      <c r="M384" s="138" t="s">
        <v>1106</v>
      </c>
      <c r="N384" s="138" t="s">
        <v>654</v>
      </c>
      <c r="O384" s="138" t="s">
        <v>799</v>
      </c>
      <c r="P384" s="141"/>
      <c r="Q384"/>
      <c r="R384" s="141"/>
      <c r="S384" s="141"/>
      <c r="T384" s="141"/>
      <c r="U384" s="141"/>
      <c r="V384" s="141"/>
      <c r="W384" s="141"/>
      <c r="X384" s="141"/>
      <c r="Y384" s="141"/>
      <c r="Z384" s="141"/>
      <c r="AA384" s="141"/>
      <c r="AB384" s="141"/>
      <c r="AC384"/>
      <c r="AD384"/>
    </row>
    <row r="385" spans="1:30">
      <c r="A385" t="str">
        <f t="shared" si="37"/>
        <v>10-26</v>
      </c>
      <c r="B385" t="str">
        <f t="shared" si="38"/>
        <v>AUD</v>
      </c>
      <c r="C385" s="138" t="s">
        <v>793</v>
      </c>
      <c r="D385" s="138">
        <v>1231026</v>
      </c>
      <c r="E385" s="138" t="s">
        <v>657</v>
      </c>
      <c r="F385" s="138" t="s">
        <v>819</v>
      </c>
      <c r="G385" s="138" t="s">
        <v>820</v>
      </c>
      <c r="H385" s="138" t="s">
        <v>145</v>
      </c>
      <c r="I385" s="138" t="s">
        <v>1322</v>
      </c>
      <c r="J385" s="138" t="s">
        <v>662</v>
      </c>
      <c r="K385" s="138" t="s">
        <v>1383</v>
      </c>
      <c r="L385" s="138" t="s">
        <v>51</v>
      </c>
      <c r="M385" s="138" t="s">
        <v>1106</v>
      </c>
      <c r="N385" s="138" t="s">
        <v>654</v>
      </c>
      <c r="O385" s="138" t="s">
        <v>799</v>
      </c>
      <c r="P385" s="141"/>
      <c r="Q385"/>
      <c r="R385" s="141"/>
      <c r="S385" s="141"/>
      <c r="T385" s="141"/>
      <c r="U385" s="141"/>
      <c r="V385" s="141"/>
      <c r="W385" s="141"/>
      <c r="X385" s="141"/>
      <c r="Y385" s="141"/>
      <c r="Z385" s="141"/>
      <c r="AA385" s="141"/>
      <c r="AB385" s="141"/>
      <c r="AC385"/>
      <c r="AD385"/>
    </row>
    <row r="386" spans="1:30">
      <c r="A386" t="str">
        <f t="shared" ref="A386:A433" si="39">MID(D386,(LEN(D386)-3),2)&amp;"-"&amp;MID(D386,(LEN(D386)-1),2)</f>
        <v>10-26</v>
      </c>
      <c r="B386" t="str">
        <f t="shared" ref="B386:B433" si="40">IF(H386="AU","AUD","USD")</f>
        <v>AUD</v>
      </c>
      <c r="C386" s="138" t="s">
        <v>793</v>
      </c>
      <c r="D386" s="138">
        <v>1231026</v>
      </c>
      <c r="E386" s="138" t="s">
        <v>657</v>
      </c>
      <c r="F386" s="138" t="s">
        <v>819</v>
      </c>
      <c r="G386" s="138" t="s">
        <v>820</v>
      </c>
      <c r="H386" s="138" t="s">
        <v>145</v>
      </c>
      <c r="I386" s="138" t="s">
        <v>1395</v>
      </c>
      <c r="J386" s="138" t="s">
        <v>662</v>
      </c>
      <c r="K386" s="138" t="s">
        <v>1396</v>
      </c>
      <c r="L386" s="138" t="s">
        <v>75</v>
      </c>
      <c r="M386" s="138" t="s">
        <v>1397</v>
      </c>
      <c r="N386" s="138" t="s">
        <v>654</v>
      </c>
      <c r="O386" s="138" t="s">
        <v>655</v>
      </c>
      <c r="P386" s="141"/>
      <c r="Q386"/>
      <c r="R386" s="141"/>
      <c r="S386" s="141"/>
      <c r="T386" s="141"/>
      <c r="U386" s="141"/>
      <c r="V386" s="141"/>
      <c r="W386" s="141"/>
      <c r="X386" s="141"/>
      <c r="Y386" s="141"/>
      <c r="Z386" s="141"/>
      <c r="AA386" s="141"/>
      <c r="AB386" s="141"/>
      <c r="AC386"/>
      <c r="AD386"/>
    </row>
    <row r="387" spans="1:30">
      <c r="A387" t="str">
        <f t="shared" si="39"/>
        <v>10-26</v>
      </c>
      <c r="B387" t="str">
        <f t="shared" si="40"/>
        <v>AUD</v>
      </c>
      <c r="C387" s="138" t="s">
        <v>793</v>
      </c>
      <c r="D387" s="138">
        <v>1231026</v>
      </c>
      <c r="E387" s="138" t="s">
        <v>657</v>
      </c>
      <c r="F387" s="138" t="s">
        <v>819</v>
      </c>
      <c r="G387" s="138" t="s">
        <v>820</v>
      </c>
      <c r="H387" s="138" t="s">
        <v>145</v>
      </c>
      <c r="I387" s="138" t="s">
        <v>1398</v>
      </c>
      <c r="J387" s="138" t="s">
        <v>662</v>
      </c>
      <c r="K387" s="138" t="s">
        <v>1399</v>
      </c>
      <c r="L387" s="138" t="s">
        <v>80</v>
      </c>
      <c r="M387" s="138" t="s">
        <v>1400</v>
      </c>
      <c r="N387" s="138" t="s">
        <v>654</v>
      </c>
      <c r="O387" s="138" t="s">
        <v>655</v>
      </c>
      <c r="P387" s="141"/>
      <c r="Q387"/>
      <c r="R387" s="141"/>
      <c r="S387" s="141"/>
      <c r="T387" s="141"/>
      <c r="U387" s="141"/>
      <c r="V387" s="141"/>
      <c r="W387" s="141"/>
      <c r="X387" s="141"/>
      <c r="Y387" s="141"/>
      <c r="Z387" s="141"/>
      <c r="AA387" s="141"/>
      <c r="AB387" s="141"/>
      <c r="AC387"/>
    </row>
    <row r="388" spans="1:30">
      <c r="A388" t="str">
        <f t="shared" si="39"/>
        <v>10-26</v>
      </c>
      <c r="B388" t="str">
        <f t="shared" si="40"/>
        <v>AUD</v>
      </c>
      <c r="C388" s="138" t="s">
        <v>793</v>
      </c>
      <c r="D388" s="138">
        <v>1231026</v>
      </c>
      <c r="E388" s="138" t="s">
        <v>657</v>
      </c>
      <c r="F388" s="138" t="s">
        <v>819</v>
      </c>
      <c r="G388" s="138" t="s">
        <v>820</v>
      </c>
      <c r="H388" s="138" t="s">
        <v>145</v>
      </c>
      <c r="I388" s="138" t="s">
        <v>1401</v>
      </c>
      <c r="J388" s="138" t="s">
        <v>662</v>
      </c>
      <c r="K388" s="138" t="s">
        <v>1402</v>
      </c>
      <c r="L388" s="138" t="s">
        <v>51</v>
      </c>
      <c r="M388" s="138" t="s">
        <v>967</v>
      </c>
      <c r="N388" s="138" t="s">
        <v>654</v>
      </c>
      <c r="O388" s="138" t="s">
        <v>799</v>
      </c>
      <c r="P388" s="141"/>
      <c r="Q388"/>
      <c r="R388" s="141"/>
      <c r="S388" s="141"/>
      <c r="T388" s="141"/>
      <c r="U388" s="141"/>
      <c r="V388" s="141"/>
      <c r="W388" s="141"/>
      <c r="X388" s="141"/>
      <c r="Y388" s="141"/>
      <c r="Z388" s="141"/>
      <c r="AA388" s="141"/>
      <c r="AB388" s="141"/>
      <c r="AC388"/>
      <c r="AD388"/>
    </row>
    <row r="389" spans="1:30">
      <c r="A389" t="str">
        <f t="shared" si="39"/>
        <v>10-26</v>
      </c>
      <c r="B389" t="str">
        <f t="shared" si="40"/>
        <v>AUD</v>
      </c>
      <c r="C389" s="138" t="s">
        <v>793</v>
      </c>
      <c r="D389" s="138">
        <v>1231026</v>
      </c>
      <c r="E389" s="138" t="s">
        <v>657</v>
      </c>
      <c r="F389" s="138" t="s">
        <v>819</v>
      </c>
      <c r="G389" s="138" t="s">
        <v>820</v>
      </c>
      <c r="H389" s="138" t="s">
        <v>145</v>
      </c>
      <c r="I389" s="138" t="s">
        <v>1403</v>
      </c>
      <c r="J389" s="138" t="s">
        <v>662</v>
      </c>
      <c r="K389" s="138" t="s">
        <v>1404</v>
      </c>
      <c r="L389" s="138" t="s">
        <v>51</v>
      </c>
      <c r="M389" s="138" t="s">
        <v>967</v>
      </c>
      <c r="N389" s="138" t="s">
        <v>654</v>
      </c>
      <c r="O389" s="138" t="s">
        <v>799</v>
      </c>
      <c r="P389" s="141"/>
      <c r="Q389"/>
      <c r="R389" s="141"/>
      <c r="S389" s="141"/>
      <c r="T389" s="141"/>
      <c r="U389" s="141"/>
      <c r="V389" s="141"/>
      <c r="W389" s="141"/>
      <c r="X389" s="141"/>
      <c r="Y389" s="141"/>
      <c r="Z389" s="141"/>
      <c r="AA389" s="141"/>
      <c r="AB389" s="141"/>
      <c r="AC389"/>
      <c r="AD389"/>
    </row>
    <row r="390" spans="1:30">
      <c r="A390" t="str">
        <f t="shared" si="39"/>
        <v>10-26</v>
      </c>
      <c r="B390" t="str">
        <f t="shared" si="40"/>
        <v>AUD</v>
      </c>
      <c r="C390" s="138" t="s">
        <v>793</v>
      </c>
      <c r="D390" s="138">
        <v>1231026</v>
      </c>
      <c r="E390" s="138" t="s">
        <v>657</v>
      </c>
      <c r="F390" s="138" t="s">
        <v>819</v>
      </c>
      <c r="G390" s="138" t="s">
        <v>820</v>
      </c>
      <c r="H390" s="138" t="s">
        <v>145</v>
      </c>
      <c r="I390" s="138" t="s">
        <v>1405</v>
      </c>
      <c r="J390" s="138" t="s">
        <v>662</v>
      </c>
      <c r="K390" s="138" t="s">
        <v>1406</v>
      </c>
      <c r="L390" s="138" t="s">
        <v>51</v>
      </c>
      <c r="M390" s="138" t="s">
        <v>967</v>
      </c>
      <c r="N390" s="138" t="s">
        <v>654</v>
      </c>
      <c r="O390" s="138" t="s">
        <v>799</v>
      </c>
      <c r="P390" s="141"/>
      <c r="Q390"/>
      <c r="R390" s="141"/>
      <c r="S390" s="141"/>
      <c r="T390" s="141"/>
      <c r="U390" s="141"/>
      <c r="V390" s="141"/>
      <c r="W390" s="141"/>
      <c r="X390" s="141"/>
      <c r="Y390" s="141"/>
      <c r="Z390" s="141"/>
      <c r="AA390" s="141"/>
      <c r="AB390" s="141"/>
      <c r="AC390"/>
      <c r="AD390"/>
    </row>
    <row r="391" spans="1:30">
      <c r="A391" t="str">
        <f t="shared" si="39"/>
        <v>10-26</v>
      </c>
      <c r="B391" t="str">
        <f t="shared" si="40"/>
        <v>AUD</v>
      </c>
      <c r="C391" s="138" t="s">
        <v>793</v>
      </c>
      <c r="D391" s="138">
        <v>1231026</v>
      </c>
      <c r="E391" s="138" t="s">
        <v>657</v>
      </c>
      <c r="F391" s="138" t="s">
        <v>819</v>
      </c>
      <c r="G391" s="138" t="s">
        <v>820</v>
      </c>
      <c r="H391" s="138" t="s">
        <v>145</v>
      </c>
      <c r="I391" s="138" t="s">
        <v>1407</v>
      </c>
      <c r="J391" s="138" t="s">
        <v>662</v>
      </c>
      <c r="K391" s="138" t="s">
        <v>1408</v>
      </c>
      <c r="L391" s="138" t="s">
        <v>146</v>
      </c>
      <c r="M391" s="138" t="s">
        <v>1409</v>
      </c>
      <c r="N391" s="138" t="s">
        <v>654</v>
      </c>
      <c r="O391" s="138" t="s">
        <v>714</v>
      </c>
      <c r="P391" s="141"/>
      <c r="Q391"/>
      <c r="R391" s="141"/>
      <c r="S391" s="141"/>
      <c r="T391" s="141"/>
      <c r="U391" s="141"/>
      <c r="V391" s="141"/>
      <c r="W391" s="141"/>
      <c r="X391" s="141"/>
      <c r="Y391" s="141"/>
      <c r="Z391" s="141"/>
      <c r="AA391" s="141"/>
      <c r="AB391" s="141"/>
      <c r="AC391"/>
      <c r="AD391"/>
    </row>
    <row r="392" spans="1:30">
      <c r="A392" t="str">
        <f t="shared" si="39"/>
        <v>10-26</v>
      </c>
      <c r="B392" t="str">
        <f t="shared" si="40"/>
        <v>AUD</v>
      </c>
      <c r="C392" s="138" t="s">
        <v>793</v>
      </c>
      <c r="D392" s="138">
        <v>1231026</v>
      </c>
      <c r="E392" s="138" t="s">
        <v>657</v>
      </c>
      <c r="F392" s="138" t="s">
        <v>819</v>
      </c>
      <c r="G392" s="138" t="s">
        <v>820</v>
      </c>
      <c r="H392" s="138" t="s">
        <v>145</v>
      </c>
      <c r="I392" s="138" t="s">
        <v>1410</v>
      </c>
      <c r="J392" s="138" t="s">
        <v>662</v>
      </c>
      <c r="K392" s="138" t="s">
        <v>1411</v>
      </c>
      <c r="L392" s="138" t="s">
        <v>146</v>
      </c>
      <c r="M392" s="138" t="s">
        <v>1409</v>
      </c>
      <c r="N392" s="138" t="s">
        <v>654</v>
      </c>
      <c r="O392" s="138" t="s">
        <v>714</v>
      </c>
      <c r="P392" s="141"/>
      <c r="Q392"/>
      <c r="R392" s="141"/>
      <c r="S392" s="141"/>
      <c r="T392" s="141"/>
      <c r="U392" s="141"/>
      <c r="V392" s="141"/>
      <c r="W392" s="141"/>
      <c r="X392" s="141"/>
      <c r="Y392" s="141"/>
      <c r="Z392" s="141"/>
      <c r="AA392" s="141"/>
      <c r="AB392" s="141"/>
      <c r="AC392"/>
      <c r="AD392"/>
    </row>
    <row r="393" spans="1:30">
      <c r="A393" t="str">
        <f t="shared" si="39"/>
        <v>10-26</v>
      </c>
      <c r="B393" t="str">
        <f t="shared" si="40"/>
        <v>AUD</v>
      </c>
      <c r="C393" s="138" t="s">
        <v>793</v>
      </c>
      <c r="D393" s="138">
        <v>1231026</v>
      </c>
      <c r="E393" s="138" t="s">
        <v>657</v>
      </c>
      <c r="F393" s="138" t="s">
        <v>819</v>
      </c>
      <c r="G393" s="138" t="s">
        <v>820</v>
      </c>
      <c r="H393" s="138" t="s">
        <v>145</v>
      </c>
      <c r="I393" s="138" t="s">
        <v>1412</v>
      </c>
      <c r="J393" s="138" t="s">
        <v>662</v>
      </c>
      <c r="K393" s="138" t="s">
        <v>1413</v>
      </c>
      <c r="L393" s="138" t="s">
        <v>146</v>
      </c>
      <c r="M393" s="138" t="s">
        <v>1409</v>
      </c>
      <c r="N393" s="138" t="s">
        <v>654</v>
      </c>
      <c r="O393" s="138" t="s">
        <v>714</v>
      </c>
      <c r="P393" s="141"/>
      <c r="Q393"/>
      <c r="R393" s="141"/>
      <c r="S393" s="141"/>
      <c r="T393" s="141"/>
      <c r="U393" s="141"/>
      <c r="V393" s="141"/>
      <c r="W393" s="141"/>
      <c r="X393" s="141"/>
      <c r="Y393" s="141"/>
      <c r="Z393" s="141"/>
      <c r="AA393" s="141"/>
      <c r="AB393" s="141"/>
      <c r="AC393"/>
      <c r="AD393"/>
    </row>
    <row r="394" spans="1:30">
      <c r="A394" t="str">
        <f t="shared" si="39"/>
        <v>10-26</v>
      </c>
      <c r="B394" t="str">
        <f t="shared" si="40"/>
        <v>AUD</v>
      </c>
      <c r="C394" s="138" t="s">
        <v>793</v>
      </c>
      <c r="D394" s="138">
        <v>1231026</v>
      </c>
      <c r="E394" s="138" t="s">
        <v>657</v>
      </c>
      <c r="F394" s="138" t="s">
        <v>819</v>
      </c>
      <c r="G394" s="138" t="s">
        <v>820</v>
      </c>
      <c r="H394" s="138" t="s">
        <v>145</v>
      </c>
      <c r="I394" s="138" t="s">
        <v>1414</v>
      </c>
      <c r="J394" s="138" t="s">
        <v>662</v>
      </c>
      <c r="K394" s="138" t="s">
        <v>1415</v>
      </c>
      <c r="L394" s="138" t="s">
        <v>51</v>
      </c>
      <c r="M394" s="138" t="s">
        <v>967</v>
      </c>
      <c r="N394" s="138" t="s">
        <v>654</v>
      </c>
      <c r="O394" s="138" t="s">
        <v>799</v>
      </c>
      <c r="P394" s="141"/>
      <c r="Q394"/>
      <c r="R394" s="141"/>
      <c r="S394" s="141"/>
      <c r="T394" s="141"/>
      <c r="U394" s="141"/>
      <c r="V394" s="141"/>
      <c r="W394" s="141"/>
      <c r="X394" s="141"/>
      <c r="Y394" s="141"/>
      <c r="Z394" s="141"/>
      <c r="AA394" s="141"/>
      <c r="AB394" s="141"/>
      <c r="AC394"/>
      <c r="AD394"/>
    </row>
    <row r="395" spans="1:30">
      <c r="A395" t="str">
        <f t="shared" si="39"/>
        <v>10-26</v>
      </c>
      <c r="B395" t="str">
        <f t="shared" si="40"/>
        <v>AUD</v>
      </c>
      <c r="C395" s="138" t="s">
        <v>793</v>
      </c>
      <c r="D395" s="138">
        <v>1231026</v>
      </c>
      <c r="E395" s="138" t="s">
        <v>657</v>
      </c>
      <c r="F395" s="138" t="s">
        <v>1416</v>
      </c>
      <c r="G395" s="138" t="s">
        <v>1417</v>
      </c>
      <c r="H395" s="138" t="s">
        <v>145</v>
      </c>
      <c r="I395" s="138" t="s">
        <v>1418</v>
      </c>
      <c r="J395" s="138" t="s">
        <v>662</v>
      </c>
      <c r="K395" s="138" t="s">
        <v>1419</v>
      </c>
      <c r="L395" s="138" t="s">
        <v>66</v>
      </c>
      <c r="M395" s="138" t="s">
        <v>823</v>
      </c>
      <c r="N395" s="138" t="s">
        <v>654</v>
      </c>
      <c r="O395" s="138" t="s">
        <v>799</v>
      </c>
      <c r="P395" s="141"/>
      <c r="Q395"/>
      <c r="R395" s="141"/>
      <c r="S395" s="141"/>
      <c r="T395" s="141"/>
      <c r="U395" s="141"/>
      <c r="V395" s="141"/>
      <c r="W395" s="141"/>
      <c r="X395" s="141"/>
      <c r="Y395" s="141"/>
      <c r="Z395" s="141"/>
      <c r="AA395" s="141"/>
      <c r="AB395" s="141"/>
      <c r="AC395"/>
      <c r="AD395"/>
    </row>
    <row r="396" spans="1:30">
      <c r="A396" t="str">
        <f t="shared" si="39"/>
        <v>10-26</v>
      </c>
      <c r="B396" t="str">
        <f t="shared" si="40"/>
        <v>USD</v>
      </c>
      <c r="C396" s="138" t="s">
        <v>793</v>
      </c>
      <c r="D396" s="138">
        <v>1231026</v>
      </c>
      <c r="E396" s="138" t="s">
        <v>707</v>
      </c>
      <c r="F396" s="138" t="s">
        <v>1161</v>
      </c>
      <c r="G396" s="138" t="s">
        <v>1162</v>
      </c>
      <c r="H396" s="138" t="s">
        <v>1100</v>
      </c>
      <c r="I396" s="138" t="s">
        <v>1323</v>
      </c>
      <c r="J396" s="138" t="s">
        <v>662</v>
      </c>
      <c r="K396" s="138" t="s">
        <v>1384</v>
      </c>
      <c r="L396" s="138" t="s">
        <v>61</v>
      </c>
      <c r="M396" s="138" t="s">
        <v>879</v>
      </c>
      <c r="N396" s="138" t="s">
        <v>654</v>
      </c>
      <c r="O396" s="138" t="s">
        <v>799</v>
      </c>
      <c r="P396" s="141"/>
      <c r="Q396"/>
      <c r="R396" s="141"/>
      <c r="S396" s="141"/>
      <c r="T396" s="141"/>
      <c r="U396" s="141"/>
      <c r="V396" s="141"/>
      <c r="W396" s="141"/>
      <c r="X396" s="141"/>
      <c r="Y396" s="141"/>
      <c r="Z396" s="141"/>
      <c r="AA396" s="141"/>
      <c r="AB396" s="141"/>
      <c r="AC396"/>
      <c r="AD396"/>
    </row>
    <row r="397" spans="1:30">
      <c r="A397" t="str">
        <f t="shared" si="39"/>
        <v>10-26</v>
      </c>
      <c r="B397" t="str">
        <f t="shared" si="40"/>
        <v>USD</v>
      </c>
      <c r="C397" s="138" t="s">
        <v>793</v>
      </c>
      <c r="D397" s="138">
        <v>1231026</v>
      </c>
      <c r="E397" s="138" t="s">
        <v>707</v>
      </c>
      <c r="F397" s="138" t="s">
        <v>1161</v>
      </c>
      <c r="G397" s="138" t="s">
        <v>1162</v>
      </c>
      <c r="H397" s="138" t="s">
        <v>1100</v>
      </c>
      <c r="I397" s="138" t="s">
        <v>1324</v>
      </c>
      <c r="J397" s="138" t="s">
        <v>662</v>
      </c>
      <c r="K397" s="138" t="s">
        <v>1384</v>
      </c>
      <c r="L397" s="138" t="s">
        <v>61</v>
      </c>
      <c r="M397" s="138" t="s">
        <v>879</v>
      </c>
      <c r="N397" s="138" t="s">
        <v>654</v>
      </c>
      <c r="O397" s="138" t="s">
        <v>799</v>
      </c>
      <c r="P397" s="141"/>
      <c r="Q397"/>
      <c r="R397" s="141"/>
      <c r="S397" s="141"/>
      <c r="T397" s="141"/>
      <c r="U397" s="141"/>
      <c r="V397" s="141"/>
      <c r="W397" s="141"/>
      <c r="X397" s="141"/>
      <c r="Y397" s="141"/>
      <c r="Z397" s="141"/>
      <c r="AA397" s="141"/>
      <c r="AB397" s="141"/>
      <c r="AC397"/>
      <c r="AD397"/>
    </row>
    <row r="398" spans="1:30">
      <c r="A398" t="str">
        <f t="shared" si="39"/>
        <v>10-26</v>
      </c>
      <c r="B398" t="str">
        <f t="shared" si="40"/>
        <v>USD</v>
      </c>
      <c r="C398" s="138" t="s">
        <v>793</v>
      </c>
      <c r="D398" s="138">
        <v>1231026</v>
      </c>
      <c r="E398" s="138" t="s">
        <v>707</v>
      </c>
      <c r="F398" s="138" t="s">
        <v>1161</v>
      </c>
      <c r="G398" s="138" t="s">
        <v>1162</v>
      </c>
      <c r="H398" s="138" t="s">
        <v>1100</v>
      </c>
      <c r="I398" s="138" t="s">
        <v>1325</v>
      </c>
      <c r="J398" s="138" t="s">
        <v>662</v>
      </c>
      <c r="K398" s="138" t="s">
        <v>1385</v>
      </c>
      <c r="L398" s="138" t="s">
        <v>61</v>
      </c>
      <c r="M398" s="138" t="s">
        <v>816</v>
      </c>
      <c r="N398" s="138" t="s">
        <v>654</v>
      </c>
      <c r="O398" s="138" t="s">
        <v>799</v>
      </c>
      <c r="P398" s="141"/>
      <c r="Q398"/>
      <c r="R398" s="141"/>
      <c r="S398" s="141"/>
      <c r="T398" s="141"/>
      <c r="U398" s="141"/>
      <c r="V398" s="141"/>
      <c r="W398" s="141"/>
      <c r="X398" s="141"/>
      <c r="Y398" s="141"/>
      <c r="Z398" s="141"/>
      <c r="AA398" s="141"/>
      <c r="AB398" s="141"/>
      <c r="AC398"/>
      <c r="AD398"/>
    </row>
    <row r="399" spans="1:30">
      <c r="A399" t="str">
        <f t="shared" si="39"/>
        <v>10-26</v>
      </c>
      <c r="B399" t="str">
        <f t="shared" si="40"/>
        <v>USD</v>
      </c>
      <c r="C399" s="138" t="s">
        <v>793</v>
      </c>
      <c r="D399" s="138">
        <v>1231026</v>
      </c>
      <c r="E399" s="138" t="s">
        <v>707</v>
      </c>
      <c r="F399" s="138" t="s">
        <v>1161</v>
      </c>
      <c r="G399" s="138" t="s">
        <v>1162</v>
      </c>
      <c r="H399" s="138" t="s">
        <v>1100</v>
      </c>
      <c r="I399" s="138" t="s">
        <v>1326</v>
      </c>
      <c r="J399" s="138" t="s">
        <v>662</v>
      </c>
      <c r="K399" s="138" t="s">
        <v>1385</v>
      </c>
      <c r="L399" s="138" t="s">
        <v>61</v>
      </c>
      <c r="M399" s="138" t="s">
        <v>816</v>
      </c>
      <c r="N399" s="138" t="s">
        <v>654</v>
      </c>
      <c r="O399" s="138" t="s">
        <v>799</v>
      </c>
      <c r="P399" s="141"/>
      <c r="Q399"/>
      <c r="R399" s="141"/>
      <c r="S399" s="141"/>
      <c r="T399" s="141"/>
      <c r="U399" s="141"/>
      <c r="V399" s="141"/>
      <c r="W399" s="141"/>
      <c r="X399" s="141"/>
      <c r="Y399" s="141"/>
      <c r="Z399" s="141"/>
      <c r="AA399" s="141"/>
      <c r="AB399" s="141"/>
      <c r="AC399"/>
      <c r="AD399"/>
    </row>
    <row r="400" spans="1:30">
      <c r="A400" t="str">
        <f t="shared" si="39"/>
        <v>10-26</v>
      </c>
      <c r="B400" t="str">
        <f t="shared" si="40"/>
        <v>USD</v>
      </c>
      <c r="C400" s="138" t="s">
        <v>793</v>
      </c>
      <c r="D400" s="138">
        <v>1231026</v>
      </c>
      <c r="E400" s="138" t="s">
        <v>707</v>
      </c>
      <c r="F400" s="138" t="s">
        <v>1161</v>
      </c>
      <c r="G400" s="138" t="s">
        <v>1162</v>
      </c>
      <c r="H400" s="138" t="s">
        <v>1100</v>
      </c>
      <c r="I400" s="138" t="s">
        <v>1327</v>
      </c>
      <c r="J400" s="138" t="s">
        <v>662</v>
      </c>
      <c r="K400" s="138" t="s">
        <v>1386</v>
      </c>
      <c r="L400" s="138" t="s">
        <v>60</v>
      </c>
      <c r="M400" s="138" t="s">
        <v>1387</v>
      </c>
      <c r="N400" s="138" t="s">
        <v>654</v>
      </c>
      <c r="O400" s="138" t="s">
        <v>655</v>
      </c>
      <c r="P400" s="141"/>
      <c r="Q400"/>
      <c r="R400" s="141"/>
      <c r="S400" s="141"/>
      <c r="T400" s="141"/>
      <c r="U400" s="141"/>
      <c r="V400" s="141"/>
      <c r="W400" s="141"/>
      <c r="X400" s="141"/>
      <c r="Y400" s="141"/>
      <c r="Z400" s="141"/>
      <c r="AA400" s="141"/>
      <c r="AB400" s="141"/>
      <c r="AC400"/>
      <c r="AD400"/>
    </row>
    <row r="401" spans="1:30">
      <c r="A401" t="str">
        <f t="shared" si="39"/>
        <v>10-26</v>
      </c>
      <c r="B401" t="str">
        <f t="shared" si="40"/>
        <v>USD</v>
      </c>
      <c r="C401" s="138" t="s">
        <v>793</v>
      </c>
      <c r="D401" s="138">
        <v>1231026</v>
      </c>
      <c r="E401" s="138" t="s">
        <v>707</v>
      </c>
      <c r="F401" s="138" t="s">
        <v>1161</v>
      </c>
      <c r="G401" s="138" t="s">
        <v>1162</v>
      </c>
      <c r="H401" s="138" t="s">
        <v>1100</v>
      </c>
      <c r="I401" s="138" t="s">
        <v>1328</v>
      </c>
      <c r="J401" s="138" t="s">
        <v>662</v>
      </c>
      <c r="K401" s="138" t="s">
        <v>1386</v>
      </c>
      <c r="L401" s="138" t="s">
        <v>60</v>
      </c>
      <c r="M401" s="138" t="s">
        <v>1387</v>
      </c>
      <c r="N401" s="138" t="s">
        <v>654</v>
      </c>
      <c r="O401" s="138" t="s">
        <v>655</v>
      </c>
      <c r="P401" s="141"/>
      <c r="Q401"/>
      <c r="R401" s="141"/>
      <c r="S401" s="141"/>
      <c r="T401" s="141"/>
      <c r="U401" s="141"/>
      <c r="V401" s="141"/>
      <c r="W401" s="141"/>
      <c r="X401" s="141"/>
      <c r="Y401" s="141"/>
      <c r="Z401" s="141"/>
      <c r="AA401" s="141"/>
      <c r="AB401" s="141"/>
      <c r="AC401"/>
      <c r="AD401"/>
    </row>
    <row r="402" spans="1:30">
      <c r="A402" t="str">
        <f t="shared" si="39"/>
        <v>10-26</v>
      </c>
      <c r="B402" t="str">
        <f t="shared" si="40"/>
        <v>USD</v>
      </c>
      <c r="C402" s="138" t="s">
        <v>793</v>
      </c>
      <c r="D402" s="138">
        <v>1231026</v>
      </c>
      <c r="E402" s="138" t="s">
        <v>707</v>
      </c>
      <c r="F402" s="138" t="s">
        <v>1161</v>
      </c>
      <c r="G402" s="138" t="s">
        <v>1162</v>
      </c>
      <c r="H402" s="138" t="s">
        <v>1100</v>
      </c>
      <c r="I402" s="138" t="s">
        <v>1329</v>
      </c>
      <c r="J402" s="138" t="s">
        <v>662</v>
      </c>
      <c r="K402" s="138" t="s">
        <v>1388</v>
      </c>
      <c r="L402" s="138" t="s">
        <v>60</v>
      </c>
      <c r="M402" s="138" t="s">
        <v>1387</v>
      </c>
      <c r="N402" s="138" t="s">
        <v>654</v>
      </c>
      <c r="O402" s="138" t="s">
        <v>655</v>
      </c>
      <c r="P402" s="141"/>
      <c r="Q402"/>
      <c r="R402" s="141"/>
      <c r="S402" s="141"/>
      <c r="T402" s="141"/>
      <c r="U402" s="141"/>
      <c r="V402" s="141"/>
      <c r="W402" s="141"/>
      <c r="X402" s="141"/>
      <c r="Y402" s="141"/>
      <c r="Z402" s="141"/>
      <c r="AA402" s="141"/>
      <c r="AB402" s="141"/>
      <c r="AC402"/>
      <c r="AD402"/>
    </row>
    <row r="403" spans="1:30">
      <c r="A403" t="str">
        <f t="shared" si="39"/>
        <v>10-26</v>
      </c>
      <c r="B403" t="str">
        <f t="shared" si="40"/>
        <v>USD</v>
      </c>
      <c r="C403" s="138" t="s">
        <v>793</v>
      </c>
      <c r="D403" s="138">
        <v>1231026</v>
      </c>
      <c r="E403" s="138" t="s">
        <v>707</v>
      </c>
      <c r="F403" s="138" t="s">
        <v>1161</v>
      </c>
      <c r="G403" s="138" t="s">
        <v>1162</v>
      </c>
      <c r="H403" s="138" t="s">
        <v>1100</v>
      </c>
      <c r="I403" s="138" t="s">
        <v>1330</v>
      </c>
      <c r="J403" s="138" t="s">
        <v>662</v>
      </c>
      <c r="K403" s="138" t="s">
        <v>1388</v>
      </c>
      <c r="L403" s="138" t="s">
        <v>60</v>
      </c>
      <c r="M403" s="138" t="s">
        <v>1387</v>
      </c>
      <c r="N403" s="138" t="s">
        <v>654</v>
      </c>
      <c r="O403" s="138" t="s">
        <v>655</v>
      </c>
      <c r="P403" s="141"/>
      <c r="Q403"/>
      <c r="R403" s="141"/>
      <c r="S403" s="141"/>
      <c r="T403" s="141"/>
      <c r="U403" s="141"/>
      <c r="V403" s="141"/>
      <c r="W403" s="141"/>
      <c r="X403" s="141"/>
      <c r="Y403" s="141"/>
      <c r="Z403" s="141"/>
      <c r="AA403" s="141"/>
      <c r="AB403" s="141"/>
      <c r="AC403"/>
      <c r="AD403"/>
    </row>
    <row r="404" spans="1:30">
      <c r="A404" t="str">
        <f t="shared" si="39"/>
        <v>10-26</v>
      </c>
      <c r="B404" t="str">
        <f t="shared" si="40"/>
        <v>USD</v>
      </c>
      <c r="C404" s="138" t="s">
        <v>793</v>
      </c>
      <c r="D404" s="138">
        <v>1231026</v>
      </c>
      <c r="E404" s="138" t="s">
        <v>707</v>
      </c>
      <c r="F404" s="138" t="s">
        <v>1161</v>
      </c>
      <c r="G404" s="138" t="s">
        <v>1162</v>
      </c>
      <c r="H404" s="138" t="s">
        <v>1100</v>
      </c>
      <c r="I404" s="138" t="s">
        <v>1331</v>
      </c>
      <c r="J404" s="138" t="s">
        <v>662</v>
      </c>
      <c r="K404" s="138" t="s">
        <v>1389</v>
      </c>
      <c r="L404" s="138" t="s">
        <v>60</v>
      </c>
      <c r="M404" s="138" t="s">
        <v>1387</v>
      </c>
      <c r="N404" s="138" t="s">
        <v>654</v>
      </c>
      <c r="O404" s="138" t="s">
        <v>655</v>
      </c>
      <c r="P404" s="141"/>
      <c r="Q404"/>
      <c r="R404" s="141"/>
      <c r="S404" s="141"/>
      <c r="T404" s="141"/>
      <c r="U404" s="141"/>
      <c r="V404" s="141"/>
      <c r="W404" s="141"/>
      <c r="X404" s="141"/>
      <c r="Y404" s="141"/>
      <c r="Z404" s="141"/>
      <c r="AA404" s="141"/>
      <c r="AB404" s="141"/>
      <c r="AC404"/>
      <c r="AD404"/>
    </row>
    <row r="405" spans="1:30">
      <c r="A405" t="str">
        <f t="shared" si="39"/>
        <v>10-26</v>
      </c>
      <c r="B405" t="str">
        <f t="shared" si="40"/>
        <v>USD</v>
      </c>
      <c r="C405" s="138" t="s">
        <v>793</v>
      </c>
      <c r="D405" s="138">
        <v>1231026</v>
      </c>
      <c r="E405" s="138" t="s">
        <v>707</v>
      </c>
      <c r="F405" s="138" t="s">
        <v>1161</v>
      </c>
      <c r="G405" s="138" t="s">
        <v>1162</v>
      </c>
      <c r="H405" s="138" t="s">
        <v>1100</v>
      </c>
      <c r="I405" s="138" t="s">
        <v>1332</v>
      </c>
      <c r="J405" s="138" t="s">
        <v>662</v>
      </c>
      <c r="K405" s="138" t="s">
        <v>1389</v>
      </c>
      <c r="L405" s="138" t="s">
        <v>60</v>
      </c>
      <c r="M405" s="138" t="s">
        <v>1387</v>
      </c>
      <c r="N405" s="138" t="s">
        <v>654</v>
      </c>
      <c r="O405" s="138" t="s">
        <v>655</v>
      </c>
      <c r="P405" s="141"/>
      <c r="Q405"/>
      <c r="R405" s="141"/>
      <c r="S405" s="141"/>
      <c r="T405" s="141"/>
      <c r="U405" s="141"/>
      <c r="V405" s="141"/>
      <c r="W405" s="141"/>
      <c r="X405" s="141"/>
      <c r="Y405" s="141"/>
      <c r="Z405" s="141"/>
      <c r="AA405" s="141"/>
      <c r="AB405" s="141"/>
      <c r="AC405"/>
      <c r="AD405"/>
    </row>
    <row r="406" spans="1:30">
      <c r="A406" t="str">
        <f t="shared" si="39"/>
        <v>10-26</v>
      </c>
      <c r="B406" t="str">
        <f t="shared" si="40"/>
        <v>AUD</v>
      </c>
      <c r="C406" s="138" t="s">
        <v>793</v>
      </c>
      <c r="D406" s="138">
        <v>1231026</v>
      </c>
      <c r="E406" s="138" t="s">
        <v>707</v>
      </c>
      <c r="F406" s="138" t="s">
        <v>1420</v>
      </c>
      <c r="G406" s="138" t="s">
        <v>1421</v>
      </c>
      <c r="H406" s="138" t="s">
        <v>145</v>
      </c>
      <c r="I406" s="138" t="s">
        <v>1422</v>
      </c>
      <c r="J406" s="138" t="s">
        <v>662</v>
      </c>
      <c r="K406" s="138" t="s">
        <v>1423</v>
      </c>
      <c r="L406" s="138" t="s">
        <v>450</v>
      </c>
      <c r="M406" s="138" t="s">
        <v>1424</v>
      </c>
      <c r="N406" s="138" t="s">
        <v>654</v>
      </c>
      <c r="O406" s="138" t="s">
        <v>799</v>
      </c>
      <c r="P406" s="141"/>
      <c r="Q406"/>
      <c r="R406" s="141"/>
      <c r="S406" s="141"/>
      <c r="T406" s="141"/>
      <c r="U406" s="141"/>
      <c r="V406" s="141"/>
      <c r="W406" s="141"/>
      <c r="X406" s="141"/>
      <c r="Y406" s="141"/>
      <c r="Z406" s="141"/>
      <c r="AA406" s="141"/>
      <c r="AB406" s="141"/>
      <c r="AC406"/>
      <c r="AD406"/>
    </row>
    <row r="407" spans="1:30">
      <c r="A407" t="str">
        <f t="shared" si="39"/>
        <v>10-26</v>
      </c>
      <c r="B407" t="str">
        <f t="shared" si="40"/>
        <v>AUD</v>
      </c>
      <c r="C407" s="138" t="s">
        <v>793</v>
      </c>
      <c r="D407" s="138">
        <v>1231026</v>
      </c>
      <c r="E407" s="138" t="s">
        <v>707</v>
      </c>
      <c r="F407" s="138" t="s">
        <v>1420</v>
      </c>
      <c r="G407" s="138" t="s">
        <v>1421</v>
      </c>
      <c r="H407" s="138" t="s">
        <v>145</v>
      </c>
      <c r="I407" s="138" t="s">
        <v>1425</v>
      </c>
      <c r="J407" s="138" t="s">
        <v>662</v>
      </c>
      <c r="K407" s="138" t="s">
        <v>1426</v>
      </c>
      <c r="L407" s="138" t="s">
        <v>450</v>
      </c>
      <c r="M407" s="138" t="s">
        <v>1424</v>
      </c>
      <c r="N407" s="138" t="s">
        <v>654</v>
      </c>
      <c r="O407" s="138" t="s">
        <v>799</v>
      </c>
      <c r="P407" s="141"/>
      <c r="Q407"/>
      <c r="R407" s="141"/>
      <c r="S407" s="141"/>
      <c r="T407" s="141"/>
      <c r="U407" s="141"/>
      <c r="V407" s="141"/>
      <c r="W407" s="141"/>
      <c r="X407" s="141"/>
      <c r="Y407" s="141"/>
      <c r="Z407" s="141"/>
      <c r="AA407" s="141"/>
      <c r="AB407" s="141"/>
      <c r="AC407"/>
      <c r="AD407"/>
    </row>
    <row r="408" spans="1:30">
      <c r="A408" t="str">
        <f t="shared" si="39"/>
        <v>10-26</v>
      </c>
      <c r="B408" t="str">
        <f t="shared" si="40"/>
        <v>AUD</v>
      </c>
      <c r="C408" s="138" t="s">
        <v>793</v>
      </c>
      <c r="D408" s="138">
        <v>1231026</v>
      </c>
      <c r="E408" s="138" t="s">
        <v>707</v>
      </c>
      <c r="F408" s="138" t="s">
        <v>1420</v>
      </c>
      <c r="G408" s="138" t="s">
        <v>1421</v>
      </c>
      <c r="H408" s="138" t="s">
        <v>145</v>
      </c>
      <c r="I408" s="138" t="s">
        <v>1427</v>
      </c>
      <c r="J408" s="138" t="s">
        <v>662</v>
      </c>
      <c r="K408" s="138" t="s">
        <v>1428</v>
      </c>
      <c r="L408" s="138" t="s">
        <v>450</v>
      </c>
      <c r="M408" s="138" t="s">
        <v>1424</v>
      </c>
      <c r="N408" s="138" t="s">
        <v>654</v>
      </c>
      <c r="O408" s="138" t="s">
        <v>799</v>
      </c>
      <c r="P408" s="141"/>
      <c r="Q408"/>
      <c r="R408" s="141"/>
      <c r="S408" s="141"/>
      <c r="T408" s="141"/>
      <c r="U408" s="141"/>
      <c r="V408" s="141"/>
      <c r="W408" s="141"/>
      <c r="X408" s="141"/>
      <c r="Y408" s="141"/>
      <c r="Z408" s="141"/>
      <c r="AA408" s="141"/>
      <c r="AB408" s="141"/>
      <c r="AC408"/>
      <c r="AD408"/>
    </row>
    <row r="409" spans="1:30">
      <c r="A409" t="str">
        <f t="shared" si="39"/>
        <v>10-26</v>
      </c>
      <c r="B409" t="str">
        <f t="shared" si="40"/>
        <v>AUD</v>
      </c>
      <c r="C409" s="138" t="s">
        <v>793</v>
      </c>
      <c r="D409" s="138">
        <v>1231026</v>
      </c>
      <c r="E409" s="138" t="s">
        <v>707</v>
      </c>
      <c r="F409" s="138" t="s">
        <v>1420</v>
      </c>
      <c r="G409" s="138" t="s">
        <v>1421</v>
      </c>
      <c r="H409" s="138" t="s">
        <v>145</v>
      </c>
      <c r="I409" s="138" t="s">
        <v>1429</v>
      </c>
      <c r="J409" s="138" t="s">
        <v>662</v>
      </c>
      <c r="K409" s="138" t="s">
        <v>1430</v>
      </c>
      <c r="L409" s="138" t="s">
        <v>450</v>
      </c>
      <c r="M409" s="138" t="s">
        <v>1424</v>
      </c>
      <c r="N409" s="138" t="s">
        <v>654</v>
      </c>
      <c r="O409" s="138" t="s">
        <v>799</v>
      </c>
      <c r="P409" s="141"/>
      <c r="Q409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  <c r="AB409" s="141"/>
      <c r="AC409"/>
      <c r="AD409"/>
    </row>
    <row r="410" spans="1:30">
      <c r="A410" t="str">
        <f t="shared" si="39"/>
        <v>10-26</v>
      </c>
      <c r="B410" t="str">
        <f t="shared" si="40"/>
        <v>AUD</v>
      </c>
      <c r="C410" s="138" t="s">
        <v>793</v>
      </c>
      <c r="D410" s="138">
        <v>1231026</v>
      </c>
      <c r="E410" s="138" t="s">
        <v>707</v>
      </c>
      <c r="F410" s="138" t="s">
        <v>1420</v>
      </c>
      <c r="G410" s="138" t="s">
        <v>1421</v>
      </c>
      <c r="H410" s="138" t="s">
        <v>145</v>
      </c>
      <c r="I410" s="138" t="s">
        <v>1431</v>
      </c>
      <c r="J410" s="138" t="s">
        <v>662</v>
      </c>
      <c r="K410" s="138" t="s">
        <v>1432</v>
      </c>
      <c r="L410" s="138" t="s">
        <v>450</v>
      </c>
      <c r="M410" s="138" t="s">
        <v>1424</v>
      </c>
      <c r="N410" s="138" t="s">
        <v>654</v>
      </c>
      <c r="O410" s="138" t="s">
        <v>799</v>
      </c>
      <c r="P410" s="141"/>
      <c r="Q410"/>
      <c r="R410" s="141"/>
      <c r="S410" s="141"/>
      <c r="T410" s="141"/>
      <c r="U410" s="141"/>
      <c r="V410" s="141"/>
      <c r="W410" s="141"/>
      <c r="X410" s="141"/>
      <c r="Y410" s="141"/>
      <c r="Z410" s="141"/>
      <c r="AA410" s="141"/>
      <c r="AB410" s="141"/>
      <c r="AC410"/>
      <c r="AD410"/>
    </row>
    <row r="411" spans="1:30">
      <c r="A411" t="str">
        <f t="shared" si="39"/>
        <v>10-27</v>
      </c>
      <c r="B411" t="str">
        <f t="shared" si="40"/>
        <v>AUD</v>
      </c>
      <c r="C411" s="138" t="s">
        <v>793</v>
      </c>
      <c r="D411" s="138">
        <v>1231027</v>
      </c>
      <c r="E411" s="138" t="s">
        <v>657</v>
      </c>
      <c r="F411" s="138" t="s">
        <v>1075</v>
      </c>
      <c r="G411" s="138" t="s">
        <v>1076</v>
      </c>
      <c r="H411" s="138" t="s">
        <v>145</v>
      </c>
      <c r="I411" s="138" t="s">
        <v>1433</v>
      </c>
      <c r="J411" s="138" t="s">
        <v>662</v>
      </c>
      <c r="K411" s="138" t="s">
        <v>1434</v>
      </c>
      <c r="L411" s="138" t="s">
        <v>245</v>
      </c>
      <c r="M411" s="138" t="s">
        <v>835</v>
      </c>
      <c r="N411" s="138" t="s">
        <v>654</v>
      </c>
      <c r="O411" s="138" t="s">
        <v>714</v>
      </c>
      <c r="P411" s="141"/>
      <c r="Q411"/>
      <c r="R411" s="141"/>
      <c r="S411" s="141"/>
      <c r="T411" s="141"/>
      <c r="U411" s="141"/>
      <c r="V411" s="141"/>
      <c r="W411" s="141"/>
      <c r="X411" s="141"/>
      <c r="Y411" s="141"/>
      <c r="Z411" s="141"/>
      <c r="AA411" s="141"/>
      <c r="AB411" s="141"/>
      <c r="AC411"/>
      <c r="AD411"/>
    </row>
    <row r="412" spans="1:30">
      <c r="A412" t="str">
        <f t="shared" si="39"/>
        <v>10-27</v>
      </c>
      <c r="B412" t="str">
        <f t="shared" si="40"/>
        <v>AUD</v>
      </c>
      <c r="C412" s="138" t="s">
        <v>793</v>
      </c>
      <c r="D412" s="138">
        <v>1231027</v>
      </c>
      <c r="E412" s="138" t="s">
        <v>657</v>
      </c>
      <c r="F412" s="138" t="s">
        <v>1075</v>
      </c>
      <c r="G412" s="138" t="s">
        <v>1076</v>
      </c>
      <c r="H412" s="138" t="s">
        <v>145</v>
      </c>
      <c r="I412" s="138" t="s">
        <v>1435</v>
      </c>
      <c r="J412" s="138" t="s">
        <v>662</v>
      </c>
      <c r="K412" s="138" t="s">
        <v>1436</v>
      </c>
      <c r="L412" s="138" t="s">
        <v>245</v>
      </c>
      <c r="M412" s="138" t="s">
        <v>835</v>
      </c>
      <c r="N412" s="138" t="s">
        <v>654</v>
      </c>
      <c r="O412" s="138" t="s">
        <v>714</v>
      </c>
      <c r="P412" s="141"/>
      <c r="Q412"/>
      <c r="R412" s="141"/>
      <c r="S412" s="141"/>
      <c r="T412" s="141"/>
      <c r="U412" s="141"/>
      <c r="V412" s="141"/>
      <c r="W412" s="141"/>
      <c r="X412" s="141"/>
      <c r="Y412" s="141"/>
      <c r="Z412" s="141"/>
      <c r="AA412" s="141"/>
      <c r="AB412" s="141"/>
      <c r="AC412"/>
      <c r="AD412"/>
    </row>
    <row r="413" spans="1:30">
      <c r="A413" t="str">
        <f t="shared" si="39"/>
        <v>10-27</v>
      </c>
      <c r="B413" t="str">
        <f t="shared" si="40"/>
        <v>AUD</v>
      </c>
      <c r="C413" s="138" t="s">
        <v>793</v>
      </c>
      <c r="D413" s="138">
        <v>1231027</v>
      </c>
      <c r="E413" s="138" t="s">
        <v>657</v>
      </c>
      <c r="F413" s="138" t="s">
        <v>1075</v>
      </c>
      <c r="G413" s="138" t="s">
        <v>1076</v>
      </c>
      <c r="H413" s="138" t="s">
        <v>145</v>
      </c>
      <c r="I413" s="138" t="s">
        <v>1437</v>
      </c>
      <c r="J413" s="138" t="s">
        <v>662</v>
      </c>
      <c r="K413" s="138" t="s">
        <v>1438</v>
      </c>
      <c r="L413" s="138" t="s">
        <v>245</v>
      </c>
      <c r="M413" s="138" t="s">
        <v>835</v>
      </c>
      <c r="N413" s="138" t="s">
        <v>654</v>
      </c>
      <c r="O413" s="138" t="s">
        <v>714</v>
      </c>
      <c r="P413" s="141"/>
      <c r="Q413"/>
      <c r="R413" s="141"/>
      <c r="S413" s="141"/>
      <c r="T413" s="141"/>
      <c r="U413" s="141"/>
      <c r="V413" s="141"/>
      <c r="W413" s="141"/>
      <c r="X413" s="141"/>
      <c r="Y413" s="141"/>
      <c r="Z413" s="141"/>
      <c r="AA413" s="141"/>
      <c r="AB413" s="141"/>
      <c r="AC413"/>
      <c r="AD413"/>
    </row>
    <row r="414" spans="1:30">
      <c r="A414" t="str">
        <f t="shared" si="39"/>
        <v>10-27</v>
      </c>
      <c r="B414" t="str">
        <f t="shared" si="40"/>
        <v>AUD</v>
      </c>
      <c r="C414" s="138" t="s">
        <v>793</v>
      </c>
      <c r="D414" s="138">
        <v>1231027</v>
      </c>
      <c r="E414" s="138" t="s">
        <v>657</v>
      </c>
      <c r="F414" s="138" t="s">
        <v>1075</v>
      </c>
      <c r="G414" s="138" t="s">
        <v>1076</v>
      </c>
      <c r="H414" s="138" t="s">
        <v>145</v>
      </c>
      <c r="I414" s="138" t="s">
        <v>1439</v>
      </c>
      <c r="J414" s="138" t="s">
        <v>662</v>
      </c>
      <c r="K414" s="138" t="s">
        <v>1440</v>
      </c>
      <c r="L414" s="138" t="s">
        <v>245</v>
      </c>
      <c r="M414" s="138" t="s">
        <v>835</v>
      </c>
      <c r="N414" s="138" t="s">
        <v>654</v>
      </c>
      <c r="O414" s="138" t="s">
        <v>714</v>
      </c>
      <c r="P414" s="141"/>
      <c r="Q414"/>
      <c r="R414" s="141"/>
      <c r="S414" s="141"/>
      <c r="T414" s="141"/>
      <c r="U414" s="141"/>
      <c r="V414" s="141"/>
      <c r="W414" s="141"/>
      <c r="X414" s="141"/>
      <c r="Y414" s="141"/>
      <c r="Z414" s="141"/>
      <c r="AA414" s="141"/>
      <c r="AB414" s="141"/>
      <c r="AC414"/>
      <c r="AD414"/>
    </row>
    <row r="415" spans="1:30">
      <c r="A415" t="str">
        <f t="shared" si="39"/>
        <v>10-27</v>
      </c>
      <c r="B415" t="str">
        <f t="shared" si="40"/>
        <v>AUD</v>
      </c>
      <c r="C415" s="138" t="s">
        <v>793</v>
      </c>
      <c r="D415" s="138">
        <v>1231027</v>
      </c>
      <c r="E415" s="138" t="s">
        <v>657</v>
      </c>
      <c r="F415" s="138" t="s">
        <v>1075</v>
      </c>
      <c r="G415" s="138" t="s">
        <v>1076</v>
      </c>
      <c r="H415" s="138" t="s">
        <v>145</v>
      </c>
      <c r="I415" s="138" t="s">
        <v>1441</v>
      </c>
      <c r="J415" s="138" t="s">
        <v>662</v>
      </c>
      <c r="K415" s="138" t="s">
        <v>1442</v>
      </c>
      <c r="L415" s="138" t="s">
        <v>245</v>
      </c>
      <c r="M415" s="138" t="s">
        <v>835</v>
      </c>
      <c r="N415" s="138" t="s">
        <v>654</v>
      </c>
      <c r="O415" s="138" t="s">
        <v>714</v>
      </c>
      <c r="P415" s="141"/>
      <c r="Q415"/>
      <c r="R415" s="141"/>
      <c r="S415" s="141"/>
      <c r="T415" s="141"/>
      <c r="U415" s="141"/>
      <c r="V415" s="141"/>
      <c r="W415" s="141"/>
      <c r="X415" s="141"/>
      <c r="Y415" s="141"/>
      <c r="Z415" s="141"/>
      <c r="AA415" s="141"/>
      <c r="AB415" s="141"/>
      <c r="AC415"/>
      <c r="AD415"/>
    </row>
    <row r="416" spans="1:30">
      <c r="A416" t="str">
        <f t="shared" si="39"/>
        <v>10-27</v>
      </c>
      <c r="B416" t="str">
        <f t="shared" si="40"/>
        <v>AUD</v>
      </c>
      <c r="C416" s="138" t="s">
        <v>793</v>
      </c>
      <c r="D416" s="138">
        <v>1231027</v>
      </c>
      <c r="E416" s="138" t="s">
        <v>657</v>
      </c>
      <c r="F416" s="138" t="s">
        <v>1075</v>
      </c>
      <c r="G416" s="138" t="s">
        <v>1076</v>
      </c>
      <c r="H416" s="138" t="s">
        <v>145</v>
      </c>
      <c r="I416" s="138" t="s">
        <v>1443</v>
      </c>
      <c r="J416" s="138" t="s">
        <v>662</v>
      </c>
      <c r="K416" s="138" t="s">
        <v>1444</v>
      </c>
      <c r="L416" s="138" t="s">
        <v>245</v>
      </c>
      <c r="M416" s="138" t="s">
        <v>835</v>
      </c>
      <c r="N416" s="138" t="s">
        <v>654</v>
      </c>
      <c r="O416" s="138" t="s">
        <v>714</v>
      </c>
      <c r="P416" s="141"/>
      <c r="Q416"/>
      <c r="R416" s="141"/>
      <c r="S416" s="141"/>
      <c r="T416" s="141"/>
      <c r="U416" s="141"/>
      <c r="V416" s="141"/>
      <c r="W416" s="141"/>
      <c r="X416" s="141"/>
      <c r="Y416" s="141"/>
      <c r="Z416" s="141"/>
      <c r="AA416" s="141"/>
      <c r="AB416" s="141"/>
      <c r="AC416"/>
      <c r="AD416"/>
    </row>
    <row r="417" spans="1:30">
      <c r="A417" t="str">
        <f t="shared" si="39"/>
        <v>10-27</v>
      </c>
      <c r="B417" t="str">
        <f t="shared" si="40"/>
        <v>AUD</v>
      </c>
      <c r="C417" s="138" t="s">
        <v>793</v>
      </c>
      <c r="D417" s="138">
        <v>1231027</v>
      </c>
      <c r="E417" s="138" t="s">
        <v>657</v>
      </c>
      <c r="F417" s="138" t="s">
        <v>1075</v>
      </c>
      <c r="G417" s="138" t="s">
        <v>1076</v>
      </c>
      <c r="H417" s="138" t="s">
        <v>145</v>
      </c>
      <c r="I417" s="138" t="s">
        <v>1445</v>
      </c>
      <c r="J417" s="138" t="s">
        <v>662</v>
      </c>
      <c r="K417" s="138" t="s">
        <v>1446</v>
      </c>
      <c r="L417" s="138" t="s">
        <v>245</v>
      </c>
      <c r="M417" s="138" t="s">
        <v>835</v>
      </c>
      <c r="N417" s="138" t="s">
        <v>654</v>
      </c>
      <c r="O417" s="138" t="s">
        <v>714</v>
      </c>
      <c r="P417" s="141"/>
      <c r="Q417"/>
      <c r="R417" s="141"/>
      <c r="S417" s="141"/>
      <c r="T417" s="141"/>
      <c r="U417" s="141"/>
      <c r="V417" s="141"/>
      <c r="W417" s="141"/>
      <c r="X417" s="141"/>
      <c r="Y417" s="141"/>
      <c r="Z417" s="141"/>
      <c r="AA417" s="141"/>
      <c r="AB417" s="141"/>
      <c r="AC417"/>
      <c r="AD417"/>
    </row>
    <row r="418" spans="1:30">
      <c r="A418" t="str">
        <f t="shared" si="39"/>
        <v>10-27</v>
      </c>
      <c r="B418" t="str">
        <f t="shared" si="40"/>
        <v>AUD</v>
      </c>
      <c r="C418" s="138" t="s">
        <v>793</v>
      </c>
      <c r="D418" s="138">
        <v>1231027</v>
      </c>
      <c r="E418" s="138" t="s">
        <v>657</v>
      </c>
      <c r="F418" s="138" t="s">
        <v>1075</v>
      </c>
      <c r="G418" s="138" t="s">
        <v>1076</v>
      </c>
      <c r="H418" s="138" t="s">
        <v>145</v>
      </c>
      <c r="I418" s="138" t="s">
        <v>1447</v>
      </c>
      <c r="J418" s="138" t="s">
        <v>662</v>
      </c>
      <c r="K418" s="138" t="s">
        <v>1448</v>
      </c>
      <c r="L418" s="138" t="s">
        <v>245</v>
      </c>
      <c r="M418" s="138" t="s">
        <v>835</v>
      </c>
      <c r="N418" s="138" t="s">
        <v>654</v>
      </c>
      <c r="O418" s="138" t="s">
        <v>714</v>
      </c>
      <c r="P418" s="141"/>
      <c r="Q418"/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  <c r="AB418" s="141"/>
      <c r="AC418"/>
      <c r="AD418"/>
    </row>
    <row r="419" spans="1:30">
      <c r="A419" t="str">
        <f t="shared" si="39"/>
        <v>10-27</v>
      </c>
      <c r="B419" t="str">
        <f t="shared" si="40"/>
        <v>AUD</v>
      </c>
      <c r="C419" s="138" t="s">
        <v>793</v>
      </c>
      <c r="D419" s="138">
        <v>1231027</v>
      </c>
      <c r="E419" s="138" t="s">
        <v>657</v>
      </c>
      <c r="F419" s="138" t="s">
        <v>1075</v>
      </c>
      <c r="G419" s="138" t="s">
        <v>1076</v>
      </c>
      <c r="H419" s="138" t="s">
        <v>145</v>
      </c>
      <c r="I419" s="138" t="s">
        <v>1449</v>
      </c>
      <c r="J419" s="138" t="s">
        <v>662</v>
      </c>
      <c r="K419" s="138" t="s">
        <v>1450</v>
      </c>
      <c r="L419" s="138" t="s">
        <v>245</v>
      </c>
      <c r="M419" s="138" t="s">
        <v>835</v>
      </c>
      <c r="N419" s="138" t="s">
        <v>654</v>
      </c>
      <c r="O419" s="138" t="s">
        <v>714</v>
      </c>
      <c r="P419" s="141"/>
      <c r="Q419"/>
      <c r="R419" s="141"/>
      <c r="S419" s="141"/>
      <c r="T419" s="141"/>
      <c r="U419" s="141"/>
      <c r="V419" s="141"/>
      <c r="W419" s="141"/>
      <c r="X419" s="141"/>
      <c r="Y419" s="141"/>
      <c r="Z419" s="141"/>
      <c r="AA419" s="141"/>
      <c r="AB419" s="141"/>
      <c r="AC419"/>
      <c r="AD419"/>
    </row>
    <row r="420" spans="1:30">
      <c r="A420" t="str">
        <f t="shared" si="39"/>
        <v>10-27</v>
      </c>
      <c r="B420" t="str">
        <f t="shared" si="40"/>
        <v>AUD</v>
      </c>
      <c r="C420" s="138" t="s">
        <v>793</v>
      </c>
      <c r="D420" s="138">
        <v>1231027</v>
      </c>
      <c r="E420" s="138" t="s">
        <v>657</v>
      </c>
      <c r="F420" s="138" t="s">
        <v>1075</v>
      </c>
      <c r="G420" s="138" t="s">
        <v>1076</v>
      </c>
      <c r="H420" s="138" t="s">
        <v>145</v>
      </c>
      <c r="I420" s="138" t="s">
        <v>1451</v>
      </c>
      <c r="J420" s="138" t="s">
        <v>662</v>
      </c>
      <c r="K420" s="138" t="s">
        <v>1452</v>
      </c>
      <c r="L420" s="138" t="s">
        <v>245</v>
      </c>
      <c r="M420" s="138" t="s">
        <v>835</v>
      </c>
      <c r="N420" s="138" t="s">
        <v>654</v>
      </c>
      <c r="O420" s="138" t="s">
        <v>714</v>
      </c>
      <c r="P420" s="141"/>
      <c r="Q420"/>
      <c r="R420" s="141"/>
      <c r="S420" s="141"/>
      <c r="T420" s="141"/>
      <c r="U420" s="141"/>
      <c r="V420" s="141"/>
      <c r="W420" s="141"/>
      <c r="X420" s="141"/>
      <c r="Y420" s="141"/>
      <c r="Z420" s="141"/>
      <c r="AA420" s="141"/>
      <c r="AB420" s="141"/>
    </row>
    <row r="421" spans="1:30">
      <c r="A421" t="str">
        <f t="shared" si="39"/>
        <v>10-27</v>
      </c>
      <c r="B421" t="str">
        <f t="shared" si="40"/>
        <v>AUD</v>
      </c>
      <c r="C421" s="138" t="s">
        <v>793</v>
      </c>
      <c r="D421" s="138">
        <v>1231027</v>
      </c>
      <c r="E421" s="138" t="s">
        <v>657</v>
      </c>
      <c r="F421" s="138" t="s">
        <v>1075</v>
      </c>
      <c r="G421" s="138" t="s">
        <v>1076</v>
      </c>
      <c r="H421" s="138" t="s">
        <v>145</v>
      </c>
      <c r="I421" s="138" t="s">
        <v>1453</v>
      </c>
      <c r="J421" s="138" t="s">
        <v>662</v>
      </c>
      <c r="K421" s="138" t="s">
        <v>1454</v>
      </c>
      <c r="L421" s="138" t="s">
        <v>245</v>
      </c>
      <c r="M421" s="138" t="s">
        <v>835</v>
      </c>
      <c r="N421" s="138" t="s">
        <v>654</v>
      </c>
      <c r="O421" s="138" t="s">
        <v>714</v>
      </c>
      <c r="P421" s="141"/>
      <c r="Q421"/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  <c r="AB421" s="141"/>
    </row>
    <row r="422" spans="1:30">
      <c r="A422" t="str">
        <f t="shared" si="39"/>
        <v>10-27</v>
      </c>
      <c r="B422" t="str">
        <f t="shared" si="40"/>
        <v>AUD</v>
      </c>
      <c r="C422" s="138" t="s">
        <v>793</v>
      </c>
      <c r="D422" s="138">
        <v>1231027</v>
      </c>
      <c r="E422" s="138" t="s">
        <v>657</v>
      </c>
      <c r="F422" s="138" t="s">
        <v>1075</v>
      </c>
      <c r="G422" s="138" t="s">
        <v>1076</v>
      </c>
      <c r="H422" s="138" t="s">
        <v>145</v>
      </c>
      <c r="I422" s="138" t="s">
        <v>1455</v>
      </c>
      <c r="J422" s="138" t="s">
        <v>662</v>
      </c>
      <c r="K422" s="138" t="s">
        <v>1456</v>
      </c>
      <c r="L422" s="138" t="s">
        <v>245</v>
      </c>
      <c r="M422" s="138" t="s">
        <v>835</v>
      </c>
      <c r="N422" s="138" t="s">
        <v>654</v>
      </c>
      <c r="O422" s="138" t="s">
        <v>714</v>
      </c>
      <c r="P422" s="141"/>
      <c r="Q422"/>
      <c r="R422" s="141"/>
      <c r="S422" s="141"/>
      <c r="T422" s="141"/>
      <c r="U422" s="141"/>
      <c r="V422" s="141"/>
      <c r="W422" s="141"/>
      <c r="X422" s="141"/>
      <c r="Y422" s="141"/>
      <c r="Z422" s="141"/>
      <c r="AA422" s="141"/>
      <c r="AB422" s="141"/>
    </row>
    <row r="423" spans="1:30">
      <c r="A423" t="str">
        <f t="shared" si="39"/>
        <v>10-27</v>
      </c>
      <c r="B423" t="str">
        <f t="shared" si="40"/>
        <v>AUD</v>
      </c>
      <c r="C423" s="138" t="s">
        <v>793</v>
      </c>
      <c r="D423" s="138">
        <v>1231027</v>
      </c>
      <c r="E423" s="138" t="s">
        <v>657</v>
      </c>
      <c r="F423" s="138" t="s">
        <v>1075</v>
      </c>
      <c r="G423" s="138" t="s">
        <v>1076</v>
      </c>
      <c r="H423" s="138" t="s">
        <v>145</v>
      </c>
      <c r="I423" s="138" t="s">
        <v>1457</v>
      </c>
      <c r="J423" s="138" t="s">
        <v>662</v>
      </c>
      <c r="K423" s="138" t="s">
        <v>1458</v>
      </c>
      <c r="L423" s="138" t="s">
        <v>245</v>
      </c>
      <c r="M423" s="138" t="s">
        <v>835</v>
      </c>
      <c r="N423" s="138" t="s">
        <v>654</v>
      </c>
      <c r="O423" s="138" t="s">
        <v>714</v>
      </c>
      <c r="P423" s="141"/>
      <c r="Q423"/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  <c r="AB423" s="141"/>
    </row>
    <row r="424" spans="1:30">
      <c r="A424" t="str">
        <f t="shared" si="39"/>
        <v>10-27</v>
      </c>
      <c r="B424" t="str">
        <f t="shared" si="40"/>
        <v>AUD</v>
      </c>
      <c r="C424" s="138" t="s">
        <v>793</v>
      </c>
      <c r="D424" s="138">
        <v>1231027</v>
      </c>
      <c r="E424" s="138" t="s">
        <v>657</v>
      </c>
      <c r="F424" s="138" t="s">
        <v>1075</v>
      </c>
      <c r="G424" s="138" t="s">
        <v>1076</v>
      </c>
      <c r="H424" s="138" t="s">
        <v>145</v>
      </c>
      <c r="I424" s="138" t="s">
        <v>1459</v>
      </c>
      <c r="J424" s="138" t="s">
        <v>662</v>
      </c>
      <c r="K424" s="138" t="s">
        <v>1460</v>
      </c>
      <c r="L424" s="138" t="s">
        <v>245</v>
      </c>
      <c r="M424" s="138" t="s">
        <v>835</v>
      </c>
      <c r="N424" s="138" t="s">
        <v>654</v>
      </c>
      <c r="O424" s="138" t="s">
        <v>714</v>
      </c>
      <c r="P424" s="141"/>
      <c r="Q424"/>
      <c r="R424" s="141"/>
      <c r="S424" s="141"/>
      <c r="T424" s="141"/>
      <c r="U424" s="141"/>
      <c r="V424" s="141"/>
      <c r="W424" s="141"/>
      <c r="X424" s="141"/>
      <c r="Y424" s="141"/>
      <c r="Z424" s="141"/>
      <c r="AA424" s="141"/>
      <c r="AB424" s="141"/>
    </row>
    <row r="425" spans="1:30">
      <c r="A425" t="str">
        <f t="shared" si="39"/>
        <v>10-27</v>
      </c>
      <c r="B425" t="str">
        <f t="shared" si="40"/>
        <v>AUD</v>
      </c>
      <c r="C425" s="138" t="s">
        <v>793</v>
      </c>
      <c r="D425" s="138">
        <v>1231027</v>
      </c>
      <c r="E425" s="138" t="s">
        <v>657</v>
      </c>
      <c r="F425" s="138" t="s">
        <v>1075</v>
      </c>
      <c r="G425" s="138" t="s">
        <v>1076</v>
      </c>
      <c r="H425" s="138" t="s">
        <v>145</v>
      </c>
      <c r="I425" s="138" t="s">
        <v>1461</v>
      </c>
      <c r="J425" s="138" t="s">
        <v>662</v>
      </c>
      <c r="K425" s="138" t="s">
        <v>1462</v>
      </c>
      <c r="L425" s="138" t="s">
        <v>245</v>
      </c>
      <c r="M425" s="138" t="s">
        <v>835</v>
      </c>
      <c r="N425" s="138" t="s">
        <v>654</v>
      </c>
      <c r="O425" s="138" t="s">
        <v>714</v>
      </c>
      <c r="P425" s="141"/>
      <c r="Q425"/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  <c r="AB425" s="141"/>
    </row>
    <row r="426" spans="1:30">
      <c r="A426" t="str">
        <f t="shared" si="39"/>
        <v>10-27</v>
      </c>
      <c r="B426" t="str">
        <f t="shared" si="40"/>
        <v>AUD</v>
      </c>
      <c r="C426" s="138" t="s">
        <v>793</v>
      </c>
      <c r="D426" s="138">
        <v>1231027</v>
      </c>
      <c r="E426" s="138" t="s">
        <v>657</v>
      </c>
      <c r="F426" s="138" t="s">
        <v>1075</v>
      </c>
      <c r="G426" s="138" t="s">
        <v>1076</v>
      </c>
      <c r="H426" s="138" t="s">
        <v>145</v>
      </c>
      <c r="I426" s="138" t="s">
        <v>1463</v>
      </c>
      <c r="J426" s="138" t="s">
        <v>662</v>
      </c>
      <c r="K426" s="138" t="s">
        <v>1464</v>
      </c>
      <c r="L426" s="138" t="s">
        <v>245</v>
      </c>
      <c r="M426" s="138" t="s">
        <v>835</v>
      </c>
      <c r="N426" s="138" t="s">
        <v>654</v>
      </c>
      <c r="O426" s="138" t="s">
        <v>714</v>
      </c>
      <c r="P426" s="141"/>
      <c r="Q426"/>
      <c r="R426" s="141"/>
      <c r="S426" s="141"/>
      <c r="T426" s="141"/>
      <c r="U426" s="141"/>
      <c r="V426" s="141"/>
      <c r="W426" s="141"/>
      <c r="X426" s="141"/>
      <c r="Y426" s="141"/>
      <c r="Z426" s="141"/>
      <c r="AA426" s="141"/>
      <c r="AB426" s="141"/>
    </row>
    <row r="427" spans="1:30">
      <c r="A427" t="str">
        <f t="shared" si="39"/>
        <v>10-27</v>
      </c>
      <c r="B427" t="str">
        <f t="shared" si="40"/>
        <v>AUD</v>
      </c>
      <c r="C427" s="138" t="s">
        <v>793</v>
      </c>
      <c r="D427" s="138">
        <v>1231027</v>
      </c>
      <c r="E427" s="138" t="s">
        <v>657</v>
      </c>
      <c r="F427" s="138" t="s">
        <v>1075</v>
      </c>
      <c r="G427" s="138" t="s">
        <v>1076</v>
      </c>
      <c r="H427" s="138" t="s">
        <v>145</v>
      </c>
      <c r="I427" s="138" t="s">
        <v>1465</v>
      </c>
      <c r="J427" s="138" t="s">
        <v>662</v>
      </c>
      <c r="K427" s="138" t="s">
        <v>1466</v>
      </c>
      <c r="L427" s="138" t="s">
        <v>245</v>
      </c>
      <c r="M427" s="138" t="s">
        <v>835</v>
      </c>
      <c r="N427" s="138" t="s">
        <v>654</v>
      </c>
      <c r="O427" s="138" t="s">
        <v>714</v>
      </c>
      <c r="P427" s="141"/>
      <c r="Q427"/>
      <c r="R427" s="141"/>
      <c r="S427" s="141"/>
      <c r="T427" s="141"/>
      <c r="U427" s="141"/>
      <c r="V427" s="141"/>
      <c r="W427" s="141"/>
      <c r="X427" s="141"/>
      <c r="Y427" s="141"/>
      <c r="Z427" s="141"/>
      <c r="AA427" s="141"/>
      <c r="AB427" s="141"/>
    </row>
    <row r="428" spans="1:30">
      <c r="A428" t="str">
        <f t="shared" si="39"/>
        <v>10-27</v>
      </c>
      <c r="B428" t="str">
        <f t="shared" si="40"/>
        <v>AUD</v>
      </c>
      <c r="C428" s="138" t="s">
        <v>793</v>
      </c>
      <c r="D428" s="138">
        <v>1231027</v>
      </c>
      <c r="E428" s="138" t="s">
        <v>657</v>
      </c>
      <c r="F428" s="138" t="s">
        <v>1075</v>
      </c>
      <c r="G428" s="138" t="s">
        <v>1076</v>
      </c>
      <c r="H428" s="138" t="s">
        <v>145</v>
      </c>
      <c r="I428" s="138" t="s">
        <v>1467</v>
      </c>
      <c r="J428" s="138" t="s">
        <v>662</v>
      </c>
      <c r="K428" s="138" t="s">
        <v>1468</v>
      </c>
      <c r="L428" s="138" t="s">
        <v>245</v>
      </c>
      <c r="M428" s="138" t="s">
        <v>835</v>
      </c>
      <c r="N428" s="138" t="s">
        <v>654</v>
      </c>
      <c r="O428" s="138" t="s">
        <v>714</v>
      </c>
      <c r="P428" s="141"/>
      <c r="Q428"/>
      <c r="R428" s="141"/>
      <c r="S428" s="141"/>
      <c r="T428" s="141"/>
      <c r="U428" s="141"/>
      <c r="V428" s="141"/>
      <c r="W428" s="141"/>
      <c r="X428" s="141"/>
      <c r="Y428" s="141"/>
      <c r="Z428" s="141"/>
      <c r="AA428" s="141"/>
      <c r="AB428" s="141"/>
    </row>
    <row r="429" spans="1:30">
      <c r="A429" t="str">
        <f t="shared" si="39"/>
        <v>10-27</v>
      </c>
      <c r="B429" t="str">
        <f t="shared" si="40"/>
        <v>AUD</v>
      </c>
      <c r="C429" s="138" t="s">
        <v>793</v>
      </c>
      <c r="D429" s="138">
        <v>1231027</v>
      </c>
      <c r="E429" s="138" t="s">
        <v>657</v>
      </c>
      <c r="F429" s="138" t="s">
        <v>1075</v>
      </c>
      <c r="G429" s="138" t="s">
        <v>1076</v>
      </c>
      <c r="H429" s="138" t="s">
        <v>145</v>
      </c>
      <c r="I429" s="138" t="s">
        <v>1469</v>
      </c>
      <c r="J429" s="138" t="s">
        <v>662</v>
      </c>
      <c r="K429" s="138" t="s">
        <v>1470</v>
      </c>
      <c r="L429" s="138" t="s">
        <v>245</v>
      </c>
      <c r="M429" s="138" t="s">
        <v>835</v>
      </c>
      <c r="N429" s="138" t="s">
        <v>654</v>
      </c>
      <c r="O429" s="138" t="s">
        <v>714</v>
      </c>
      <c r="P429" s="141"/>
      <c r="Q429"/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  <c r="AB429" s="141"/>
    </row>
    <row r="430" spans="1:30">
      <c r="A430" t="str">
        <f t="shared" si="39"/>
        <v>10-27</v>
      </c>
      <c r="B430" t="str">
        <f t="shared" si="40"/>
        <v>AUD</v>
      </c>
      <c r="C430" s="138" t="s">
        <v>793</v>
      </c>
      <c r="D430" s="138">
        <v>1231027</v>
      </c>
      <c r="E430" s="138" t="s">
        <v>657</v>
      </c>
      <c r="F430" s="138" t="s">
        <v>1075</v>
      </c>
      <c r="G430" s="138" t="s">
        <v>1076</v>
      </c>
      <c r="H430" s="138" t="s">
        <v>145</v>
      </c>
      <c r="I430" s="138" t="s">
        <v>1471</v>
      </c>
      <c r="J430" s="138" t="s">
        <v>662</v>
      </c>
      <c r="K430" s="138" t="s">
        <v>1472</v>
      </c>
      <c r="L430" s="138" t="s">
        <v>245</v>
      </c>
      <c r="M430" s="138" t="s">
        <v>835</v>
      </c>
      <c r="N430" s="138" t="s">
        <v>654</v>
      </c>
      <c r="O430" s="138" t="s">
        <v>714</v>
      </c>
      <c r="P430" s="141"/>
      <c r="Q430"/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  <c r="AB430" s="141"/>
    </row>
    <row r="431" spans="1:30">
      <c r="A431" t="str">
        <f t="shared" si="39"/>
        <v>10-27</v>
      </c>
      <c r="B431" t="str">
        <f t="shared" si="40"/>
        <v>AUD</v>
      </c>
      <c r="C431" s="138" t="s">
        <v>793</v>
      </c>
      <c r="D431" s="138">
        <v>1231027</v>
      </c>
      <c r="E431" s="138" t="s">
        <v>657</v>
      </c>
      <c r="F431" s="138" t="s">
        <v>1075</v>
      </c>
      <c r="G431" s="138" t="s">
        <v>1076</v>
      </c>
      <c r="H431" s="138" t="s">
        <v>145</v>
      </c>
      <c r="I431" s="138" t="s">
        <v>1473</v>
      </c>
      <c r="J431" s="138" t="s">
        <v>662</v>
      </c>
      <c r="K431" s="138" t="s">
        <v>1474</v>
      </c>
      <c r="L431" s="138" t="s">
        <v>245</v>
      </c>
      <c r="M431" s="138" t="s">
        <v>835</v>
      </c>
      <c r="N431" s="138" t="s">
        <v>654</v>
      </c>
      <c r="O431" s="138" t="s">
        <v>714</v>
      </c>
      <c r="P431" s="141"/>
      <c r="Q431"/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  <c r="AB431" s="141"/>
    </row>
    <row r="432" spans="1:30">
      <c r="A432" t="str">
        <f t="shared" si="39"/>
        <v>10-27</v>
      </c>
      <c r="B432" t="str">
        <f t="shared" si="40"/>
        <v>AUD</v>
      </c>
      <c r="C432" s="138" t="s">
        <v>793</v>
      </c>
      <c r="D432" s="138">
        <v>1231027</v>
      </c>
      <c r="E432" s="138" t="s">
        <v>657</v>
      </c>
      <c r="F432" s="138" t="s">
        <v>1075</v>
      </c>
      <c r="G432" s="138" t="s">
        <v>1076</v>
      </c>
      <c r="H432" s="138" t="s">
        <v>145</v>
      </c>
      <c r="I432" s="138" t="s">
        <v>1475</v>
      </c>
      <c r="J432" s="138" t="s">
        <v>662</v>
      </c>
      <c r="K432" s="138" t="s">
        <v>1476</v>
      </c>
      <c r="L432" s="138" t="s">
        <v>245</v>
      </c>
      <c r="M432" s="138" t="s">
        <v>835</v>
      </c>
      <c r="N432" s="138" t="s">
        <v>654</v>
      </c>
      <c r="O432" s="138" t="s">
        <v>714</v>
      </c>
      <c r="P432" s="141"/>
      <c r="Q432"/>
      <c r="R432" s="141"/>
      <c r="S432" s="141"/>
      <c r="T432" s="141"/>
      <c r="U432" s="141"/>
      <c r="V432" s="141"/>
      <c r="W432" s="141"/>
      <c r="X432" s="141"/>
      <c r="Y432" s="141"/>
      <c r="Z432" s="141"/>
      <c r="AA432" s="141"/>
      <c r="AB432" s="141"/>
    </row>
    <row r="433" spans="1:28">
      <c r="A433" t="str">
        <f t="shared" si="39"/>
        <v>10-27</v>
      </c>
      <c r="B433" t="str">
        <f t="shared" si="40"/>
        <v>AUD</v>
      </c>
      <c r="C433" s="138" t="s">
        <v>793</v>
      </c>
      <c r="D433" s="138">
        <v>1231027</v>
      </c>
      <c r="E433" s="138" t="s">
        <v>657</v>
      </c>
      <c r="F433" s="138" t="s">
        <v>1075</v>
      </c>
      <c r="G433" s="138" t="s">
        <v>1076</v>
      </c>
      <c r="H433" s="138" t="s">
        <v>145</v>
      </c>
      <c r="I433" s="138" t="s">
        <v>1477</v>
      </c>
      <c r="J433" s="138" t="s">
        <v>662</v>
      </c>
      <c r="K433" s="138" t="s">
        <v>1478</v>
      </c>
      <c r="L433" s="138" t="s">
        <v>245</v>
      </c>
      <c r="M433" s="138" t="s">
        <v>835</v>
      </c>
      <c r="N433" s="138" t="s">
        <v>654</v>
      </c>
      <c r="O433" s="138" t="s">
        <v>714</v>
      </c>
      <c r="P433" s="141"/>
      <c r="Q433"/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  <c r="AB433" s="141"/>
    </row>
    <row r="434" spans="1:28">
      <c r="A434" t="str">
        <f t="shared" ref="A434:A460" si="41">MID(D434,(LEN(D434)-3),2)&amp;"-"&amp;MID(D434,(LEN(D434)-1),2)</f>
        <v>10-27</v>
      </c>
      <c r="B434" t="str">
        <f t="shared" ref="B434:B460" si="42">IF(H434="AU","AUD","USD")</f>
        <v>AUD</v>
      </c>
      <c r="C434" s="138" t="s">
        <v>793</v>
      </c>
      <c r="D434" s="138">
        <v>1231027</v>
      </c>
      <c r="E434" s="138" t="s">
        <v>657</v>
      </c>
      <c r="F434" s="138" t="s">
        <v>1075</v>
      </c>
      <c r="G434" s="138" t="s">
        <v>1076</v>
      </c>
      <c r="H434" s="138" t="s">
        <v>145</v>
      </c>
      <c r="I434" s="138" t="s">
        <v>1479</v>
      </c>
      <c r="J434" s="138" t="s">
        <v>662</v>
      </c>
      <c r="K434" s="138" t="s">
        <v>1480</v>
      </c>
      <c r="L434" s="138" t="s">
        <v>245</v>
      </c>
      <c r="M434" s="138" t="s">
        <v>835</v>
      </c>
      <c r="N434" s="138" t="s">
        <v>654</v>
      </c>
      <c r="O434" s="138" t="s">
        <v>714</v>
      </c>
      <c r="P434" s="141"/>
      <c r="Q434"/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  <c r="AB434" s="141"/>
    </row>
    <row r="435" spans="1:28">
      <c r="A435" t="str">
        <f t="shared" si="41"/>
        <v>10-27</v>
      </c>
      <c r="B435" t="str">
        <f t="shared" si="42"/>
        <v>AUD</v>
      </c>
      <c r="C435" s="138" t="s">
        <v>793</v>
      </c>
      <c r="D435" s="138">
        <v>1231027</v>
      </c>
      <c r="E435" s="138" t="s">
        <v>657</v>
      </c>
      <c r="F435" s="138" t="s">
        <v>1075</v>
      </c>
      <c r="G435" s="138" t="s">
        <v>1076</v>
      </c>
      <c r="H435" s="138" t="s">
        <v>145</v>
      </c>
      <c r="I435" s="138" t="s">
        <v>1481</v>
      </c>
      <c r="J435" s="138" t="s">
        <v>662</v>
      </c>
      <c r="K435" s="138" t="s">
        <v>1482</v>
      </c>
      <c r="L435" s="138" t="s">
        <v>245</v>
      </c>
      <c r="M435" s="138" t="s">
        <v>835</v>
      </c>
      <c r="N435" s="138" t="s">
        <v>654</v>
      </c>
      <c r="O435" s="138" t="s">
        <v>714</v>
      </c>
      <c r="P435" s="141"/>
      <c r="Q435"/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  <c r="AB435" s="141"/>
    </row>
    <row r="436" spans="1:28">
      <c r="A436" t="str">
        <f t="shared" si="41"/>
        <v>10-27</v>
      </c>
      <c r="B436" t="str">
        <f t="shared" si="42"/>
        <v>AUD</v>
      </c>
      <c r="C436" s="138" t="s">
        <v>793</v>
      </c>
      <c r="D436" s="138">
        <v>1231027</v>
      </c>
      <c r="E436" s="138" t="s">
        <v>657</v>
      </c>
      <c r="F436" s="138" t="s">
        <v>1075</v>
      </c>
      <c r="G436" s="138" t="s">
        <v>1076</v>
      </c>
      <c r="H436" s="138" t="s">
        <v>145</v>
      </c>
      <c r="I436" s="138" t="s">
        <v>1483</v>
      </c>
      <c r="J436" s="138" t="s">
        <v>662</v>
      </c>
      <c r="K436" s="138" t="s">
        <v>1484</v>
      </c>
      <c r="L436" s="138" t="s">
        <v>245</v>
      </c>
      <c r="M436" s="138" t="s">
        <v>835</v>
      </c>
      <c r="N436" s="138" t="s">
        <v>654</v>
      </c>
      <c r="O436" s="138" t="s">
        <v>714</v>
      </c>
      <c r="P436" s="141"/>
      <c r="Q436"/>
      <c r="R436" s="141"/>
      <c r="S436" s="141"/>
      <c r="T436" s="141"/>
      <c r="U436" s="141"/>
      <c r="V436" s="141"/>
      <c r="W436" s="141"/>
      <c r="X436" s="141"/>
      <c r="Y436" s="141"/>
      <c r="Z436" s="141"/>
      <c r="AA436" s="141"/>
      <c r="AB436" s="141"/>
    </row>
    <row r="437" spans="1:28">
      <c r="A437" t="str">
        <f t="shared" si="41"/>
        <v>10-27</v>
      </c>
      <c r="B437" t="str">
        <f t="shared" si="42"/>
        <v>AUD</v>
      </c>
      <c r="C437" s="138" t="s">
        <v>793</v>
      </c>
      <c r="D437" s="138">
        <v>1231027</v>
      </c>
      <c r="E437" s="138" t="s">
        <v>657</v>
      </c>
      <c r="F437" s="138" t="s">
        <v>1075</v>
      </c>
      <c r="G437" s="138" t="s">
        <v>1076</v>
      </c>
      <c r="H437" s="138" t="s">
        <v>145</v>
      </c>
      <c r="I437" s="138" t="s">
        <v>1485</v>
      </c>
      <c r="J437" s="138" t="s">
        <v>662</v>
      </c>
      <c r="K437" s="138" t="s">
        <v>1486</v>
      </c>
      <c r="L437" s="138" t="s">
        <v>245</v>
      </c>
      <c r="M437" s="138" t="s">
        <v>835</v>
      </c>
      <c r="N437" s="138" t="s">
        <v>654</v>
      </c>
      <c r="O437" s="138" t="s">
        <v>714</v>
      </c>
      <c r="P437" s="141"/>
      <c r="Q437"/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  <c r="AB437" s="141"/>
    </row>
    <row r="438" spans="1:28">
      <c r="A438" t="str">
        <f t="shared" si="41"/>
        <v>10-27</v>
      </c>
      <c r="B438" t="str">
        <f t="shared" si="42"/>
        <v>AUD</v>
      </c>
      <c r="C438" s="138" t="s">
        <v>793</v>
      </c>
      <c r="D438" s="138">
        <v>1231027</v>
      </c>
      <c r="E438" s="138" t="s">
        <v>657</v>
      </c>
      <c r="F438" s="138" t="s">
        <v>1075</v>
      </c>
      <c r="G438" s="138" t="s">
        <v>1076</v>
      </c>
      <c r="H438" s="138" t="s">
        <v>145</v>
      </c>
      <c r="I438" s="138" t="s">
        <v>1487</v>
      </c>
      <c r="J438" s="138" t="s">
        <v>662</v>
      </c>
      <c r="K438" s="138" t="s">
        <v>1488</v>
      </c>
      <c r="L438" s="138" t="s">
        <v>245</v>
      </c>
      <c r="M438" s="138" t="s">
        <v>835</v>
      </c>
      <c r="N438" s="138" t="s">
        <v>654</v>
      </c>
      <c r="O438" s="138" t="s">
        <v>714</v>
      </c>
      <c r="P438" s="141"/>
      <c r="Q438"/>
      <c r="R438" s="141"/>
      <c r="S438" s="141"/>
      <c r="T438" s="141"/>
      <c r="U438" s="141"/>
      <c r="V438" s="141"/>
      <c r="W438" s="141"/>
      <c r="X438" s="141"/>
      <c r="Y438" s="141"/>
      <c r="Z438" s="141"/>
      <c r="AA438" s="141"/>
      <c r="AB438" s="141"/>
    </row>
    <row r="439" spans="1:28">
      <c r="A439" t="str">
        <f t="shared" si="41"/>
        <v>10-27</v>
      </c>
      <c r="B439" t="str">
        <f t="shared" si="42"/>
        <v>AUD</v>
      </c>
      <c r="C439" s="138" t="s">
        <v>793</v>
      </c>
      <c r="D439" s="138">
        <v>1231027</v>
      </c>
      <c r="E439" s="138" t="s">
        <v>657</v>
      </c>
      <c r="F439" s="138" t="s">
        <v>1075</v>
      </c>
      <c r="G439" s="138" t="s">
        <v>1076</v>
      </c>
      <c r="H439" s="138" t="s">
        <v>145</v>
      </c>
      <c r="I439" s="138" t="s">
        <v>1489</v>
      </c>
      <c r="J439" s="138" t="s">
        <v>662</v>
      </c>
      <c r="K439" s="138" t="s">
        <v>1490</v>
      </c>
      <c r="L439" s="138" t="s">
        <v>245</v>
      </c>
      <c r="M439" s="138" t="s">
        <v>835</v>
      </c>
      <c r="N439" s="138" t="s">
        <v>654</v>
      </c>
      <c r="O439" s="138" t="s">
        <v>714</v>
      </c>
      <c r="P439" s="141"/>
      <c r="Q439"/>
      <c r="R439" s="141"/>
      <c r="S439" s="141"/>
      <c r="T439" s="141"/>
      <c r="U439" s="141"/>
      <c r="V439" s="141"/>
      <c r="W439" s="141"/>
      <c r="X439" s="141"/>
      <c r="Y439" s="141"/>
      <c r="Z439" s="141"/>
      <c r="AA439" s="141"/>
      <c r="AB439" s="141"/>
    </row>
    <row r="440" spans="1:28">
      <c r="A440" t="str">
        <f t="shared" si="41"/>
        <v>10-27</v>
      </c>
      <c r="B440" t="str">
        <f t="shared" si="42"/>
        <v>AUD</v>
      </c>
      <c r="C440" s="138" t="s">
        <v>793</v>
      </c>
      <c r="D440" s="138">
        <v>1231027</v>
      </c>
      <c r="E440" s="138" t="s">
        <v>657</v>
      </c>
      <c r="F440" s="138" t="s">
        <v>1075</v>
      </c>
      <c r="G440" s="138" t="s">
        <v>1076</v>
      </c>
      <c r="H440" s="138" t="s">
        <v>145</v>
      </c>
      <c r="I440" s="138" t="s">
        <v>1491</v>
      </c>
      <c r="J440" s="138" t="s">
        <v>662</v>
      </c>
      <c r="K440" s="138" t="s">
        <v>1492</v>
      </c>
      <c r="L440" s="138" t="s">
        <v>245</v>
      </c>
      <c r="M440" s="138" t="s">
        <v>835</v>
      </c>
      <c r="N440" s="138" t="s">
        <v>654</v>
      </c>
      <c r="O440" s="138" t="s">
        <v>714</v>
      </c>
      <c r="P440" s="141"/>
      <c r="Q440"/>
      <c r="R440" s="141"/>
      <c r="S440" s="141"/>
      <c r="T440" s="141"/>
      <c r="U440" s="141"/>
      <c r="V440" s="141"/>
      <c r="W440" s="141"/>
      <c r="X440" s="141"/>
      <c r="Y440" s="141"/>
      <c r="Z440" s="141"/>
      <c r="AA440" s="141"/>
      <c r="AB440" s="141"/>
    </row>
    <row r="441" spans="1:28">
      <c r="A441" t="str">
        <f t="shared" si="41"/>
        <v>10-27</v>
      </c>
      <c r="B441" t="str">
        <f t="shared" si="42"/>
        <v>AUD</v>
      </c>
      <c r="C441" s="138" t="s">
        <v>793</v>
      </c>
      <c r="D441" s="138">
        <v>1231027</v>
      </c>
      <c r="E441" s="138" t="s">
        <v>657</v>
      </c>
      <c r="F441" s="138" t="s">
        <v>1075</v>
      </c>
      <c r="G441" s="138" t="s">
        <v>1076</v>
      </c>
      <c r="H441" s="138" t="s">
        <v>145</v>
      </c>
      <c r="I441" s="138" t="s">
        <v>1493</v>
      </c>
      <c r="J441" s="138" t="s">
        <v>662</v>
      </c>
      <c r="K441" s="138" t="s">
        <v>1494</v>
      </c>
      <c r="L441" s="138" t="s">
        <v>245</v>
      </c>
      <c r="M441" s="138" t="s">
        <v>835</v>
      </c>
      <c r="N441" s="138" t="s">
        <v>654</v>
      </c>
      <c r="O441" s="138" t="s">
        <v>714</v>
      </c>
      <c r="P441" s="141"/>
      <c r="Q441"/>
      <c r="R441" s="141"/>
      <c r="S441" s="141"/>
      <c r="T441" s="141"/>
      <c r="U441" s="141"/>
      <c r="V441" s="141"/>
      <c r="W441" s="141"/>
      <c r="X441" s="141"/>
      <c r="Y441" s="141"/>
      <c r="Z441" s="141"/>
      <c r="AA441" s="141"/>
      <c r="AB441" s="141"/>
    </row>
    <row r="442" spans="1:28">
      <c r="A442" t="str">
        <f t="shared" si="41"/>
        <v>10-27</v>
      </c>
      <c r="B442" t="str">
        <f t="shared" si="42"/>
        <v>AUD</v>
      </c>
      <c r="C442" s="138" t="s">
        <v>793</v>
      </c>
      <c r="D442" s="138">
        <v>1231027</v>
      </c>
      <c r="E442" s="138" t="s">
        <v>657</v>
      </c>
      <c r="F442" s="138" t="s">
        <v>1075</v>
      </c>
      <c r="G442" s="138" t="s">
        <v>1076</v>
      </c>
      <c r="H442" s="138" t="s">
        <v>145</v>
      </c>
      <c r="I442" s="138" t="s">
        <v>1495</v>
      </c>
      <c r="J442" s="138" t="s">
        <v>662</v>
      </c>
      <c r="K442" s="138" t="s">
        <v>1496</v>
      </c>
      <c r="L442" s="138" t="s">
        <v>245</v>
      </c>
      <c r="M442" s="138" t="s">
        <v>835</v>
      </c>
      <c r="N442" s="138" t="s">
        <v>654</v>
      </c>
      <c r="O442" s="138" t="s">
        <v>714</v>
      </c>
      <c r="P442" s="141"/>
      <c r="Q442"/>
      <c r="R442" s="141"/>
      <c r="S442" s="141"/>
      <c r="T442" s="141"/>
      <c r="U442" s="141"/>
      <c r="V442" s="141"/>
      <c r="W442" s="141"/>
      <c r="X442" s="141"/>
      <c r="Y442" s="141"/>
      <c r="Z442" s="141"/>
      <c r="AA442" s="141"/>
      <c r="AB442" s="141"/>
    </row>
    <row r="443" spans="1:28">
      <c r="A443" t="str">
        <f t="shared" si="41"/>
        <v>10-27</v>
      </c>
      <c r="B443" t="str">
        <f t="shared" si="42"/>
        <v>AUD</v>
      </c>
      <c r="C443" s="138" t="s">
        <v>793</v>
      </c>
      <c r="D443" s="138">
        <v>1231027</v>
      </c>
      <c r="E443" s="138" t="s">
        <v>657</v>
      </c>
      <c r="F443" s="138" t="s">
        <v>1075</v>
      </c>
      <c r="G443" s="138" t="s">
        <v>1076</v>
      </c>
      <c r="H443" s="138" t="s">
        <v>145</v>
      </c>
      <c r="I443" s="138" t="s">
        <v>1497</v>
      </c>
      <c r="J443" s="138" t="s">
        <v>662</v>
      </c>
      <c r="K443" s="138" t="s">
        <v>1498</v>
      </c>
      <c r="L443" s="138" t="s">
        <v>245</v>
      </c>
      <c r="M443" s="138" t="s">
        <v>835</v>
      </c>
      <c r="N443" s="138" t="s">
        <v>654</v>
      </c>
      <c r="O443" s="138" t="s">
        <v>714</v>
      </c>
      <c r="P443" s="141"/>
      <c r="Q443"/>
      <c r="R443" s="141"/>
      <c r="S443" s="141"/>
      <c r="T443" s="141"/>
      <c r="U443" s="141"/>
      <c r="V443" s="141"/>
      <c r="W443" s="141"/>
      <c r="X443" s="141"/>
      <c r="Y443" s="141"/>
      <c r="Z443" s="141"/>
      <c r="AA443" s="141"/>
      <c r="AB443" s="141"/>
    </row>
    <row r="444" spans="1:28">
      <c r="A444" t="str">
        <f t="shared" si="41"/>
        <v>10-27</v>
      </c>
      <c r="B444" t="str">
        <f t="shared" si="42"/>
        <v>AUD</v>
      </c>
      <c r="C444" s="138" t="s">
        <v>793</v>
      </c>
      <c r="D444" s="138">
        <v>1231027</v>
      </c>
      <c r="E444" s="138" t="s">
        <v>657</v>
      </c>
      <c r="F444" s="138" t="s">
        <v>1075</v>
      </c>
      <c r="G444" s="138" t="s">
        <v>1076</v>
      </c>
      <c r="H444" s="138" t="s">
        <v>145</v>
      </c>
      <c r="I444" s="138" t="s">
        <v>1499</v>
      </c>
      <c r="J444" s="138" t="s">
        <v>662</v>
      </c>
      <c r="K444" s="138" t="s">
        <v>1500</v>
      </c>
      <c r="L444" s="138" t="s">
        <v>245</v>
      </c>
      <c r="M444" s="138" t="s">
        <v>835</v>
      </c>
      <c r="N444" s="138" t="s">
        <v>654</v>
      </c>
      <c r="O444" s="138" t="s">
        <v>714</v>
      </c>
      <c r="P444" s="141"/>
      <c r="Q444"/>
      <c r="R444" s="141"/>
      <c r="S444" s="141"/>
      <c r="T444" s="141"/>
      <c r="U444" s="141"/>
      <c r="V444" s="141"/>
      <c r="W444" s="141"/>
      <c r="X444" s="141"/>
      <c r="Y444" s="141"/>
      <c r="Z444" s="141"/>
      <c r="AA444" s="141"/>
      <c r="AB444" s="141"/>
    </row>
    <row r="445" spans="1:28">
      <c r="A445" t="str">
        <f t="shared" si="41"/>
        <v>10-27</v>
      </c>
      <c r="B445" t="str">
        <f t="shared" si="42"/>
        <v>AUD</v>
      </c>
      <c r="C445" s="138" t="s">
        <v>793</v>
      </c>
      <c r="D445" s="138">
        <v>1231027</v>
      </c>
      <c r="E445" s="138" t="s">
        <v>657</v>
      </c>
      <c r="F445" s="138" t="s">
        <v>1075</v>
      </c>
      <c r="G445" s="138" t="s">
        <v>1076</v>
      </c>
      <c r="H445" s="138" t="s">
        <v>145</v>
      </c>
      <c r="I445" s="138" t="s">
        <v>1501</v>
      </c>
      <c r="J445" s="138" t="s">
        <v>662</v>
      </c>
      <c r="K445" s="138" t="s">
        <v>1502</v>
      </c>
      <c r="L445" s="138" t="s">
        <v>245</v>
      </c>
      <c r="M445" s="138" t="s">
        <v>835</v>
      </c>
      <c r="N445" s="138" t="s">
        <v>654</v>
      </c>
      <c r="O445" s="138" t="s">
        <v>714</v>
      </c>
      <c r="P445" s="141"/>
      <c r="Q445"/>
      <c r="R445" s="141"/>
      <c r="S445" s="141"/>
      <c r="T445" s="141"/>
      <c r="U445" s="141"/>
      <c r="V445" s="141"/>
      <c r="W445" s="141"/>
      <c r="X445" s="141"/>
      <c r="Y445" s="141"/>
      <c r="Z445" s="141"/>
      <c r="AA445" s="141"/>
      <c r="AB445" s="141"/>
    </row>
    <row r="446" spans="1:28">
      <c r="A446" t="str">
        <f t="shared" si="41"/>
        <v>10-27</v>
      </c>
      <c r="B446" t="str">
        <f t="shared" si="42"/>
        <v>AUD</v>
      </c>
      <c r="C446" s="138" t="s">
        <v>793</v>
      </c>
      <c r="D446" s="138">
        <v>1231027</v>
      </c>
      <c r="E446" s="138" t="s">
        <v>657</v>
      </c>
      <c r="F446" s="138" t="s">
        <v>1075</v>
      </c>
      <c r="G446" s="138" t="s">
        <v>1076</v>
      </c>
      <c r="H446" s="138" t="s">
        <v>145</v>
      </c>
      <c r="I446" s="138" t="s">
        <v>1503</v>
      </c>
      <c r="J446" s="138" t="s">
        <v>662</v>
      </c>
      <c r="K446" s="138" t="s">
        <v>1504</v>
      </c>
      <c r="L446" s="138" t="s">
        <v>245</v>
      </c>
      <c r="M446" s="138" t="s">
        <v>835</v>
      </c>
      <c r="N446" s="138" t="s">
        <v>654</v>
      </c>
      <c r="O446" s="138" t="s">
        <v>714</v>
      </c>
      <c r="P446" s="141"/>
      <c r="Q446"/>
      <c r="R446" s="141"/>
      <c r="S446" s="141"/>
      <c r="T446" s="141"/>
      <c r="U446" s="141"/>
      <c r="V446" s="141"/>
      <c r="W446" s="141"/>
      <c r="X446" s="141"/>
      <c r="Y446" s="141"/>
      <c r="Z446" s="141"/>
      <c r="AA446" s="141"/>
      <c r="AB446" s="141"/>
    </row>
    <row r="447" spans="1:28">
      <c r="A447" t="str">
        <f t="shared" si="41"/>
        <v>10-27</v>
      </c>
      <c r="B447" t="str">
        <f t="shared" si="42"/>
        <v>AUD</v>
      </c>
      <c r="C447" s="138" t="s">
        <v>793</v>
      </c>
      <c r="D447" s="138">
        <v>1231027</v>
      </c>
      <c r="E447" s="138" t="s">
        <v>657</v>
      </c>
      <c r="F447" s="138" t="s">
        <v>1075</v>
      </c>
      <c r="G447" s="138" t="s">
        <v>1076</v>
      </c>
      <c r="H447" s="138" t="s">
        <v>145</v>
      </c>
      <c r="I447" s="138" t="s">
        <v>1505</v>
      </c>
      <c r="J447" s="138" t="s">
        <v>662</v>
      </c>
      <c r="K447" s="138" t="s">
        <v>1506</v>
      </c>
      <c r="L447" s="138" t="s">
        <v>245</v>
      </c>
      <c r="M447" s="138" t="s">
        <v>835</v>
      </c>
      <c r="N447" s="138" t="s">
        <v>654</v>
      </c>
      <c r="O447" s="138" t="s">
        <v>714</v>
      </c>
      <c r="P447" s="141"/>
      <c r="Q447"/>
      <c r="R447" s="141"/>
      <c r="S447" s="141"/>
      <c r="T447" s="141"/>
      <c r="U447" s="141"/>
      <c r="V447" s="141"/>
      <c r="W447" s="141"/>
      <c r="X447" s="141"/>
      <c r="Y447" s="141"/>
      <c r="Z447" s="141"/>
      <c r="AA447" s="141"/>
      <c r="AB447" s="141"/>
    </row>
    <row r="448" spans="1:28">
      <c r="A448" t="str">
        <f t="shared" si="41"/>
        <v>10-27</v>
      </c>
      <c r="B448" t="str">
        <f t="shared" si="42"/>
        <v>AUD</v>
      </c>
      <c r="C448" s="138" t="s">
        <v>793</v>
      </c>
      <c r="D448" s="138">
        <v>1231027</v>
      </c>
      <c r="E448" s="138" t="s">
        <v>657</v>
      </c>
      <c r="F448" s="138" t="s">
        <v>1075</v>
      </c>
      <c r="G448" s="138" t="s">
        <v>1076</v>
      </c>
      <c r="H448" s="138" t="s">
        <v>145</v>
      </c>
      <c r="I448" s="138" t="s">
        <v>1507</v>
      </c>
      <c r="J448" s="138" t="s">
        <v>662</v>
      </c>
      <c r="K448" s="138" t="s">
        <v>1508</v>
      </c>
      <c r="L448" s="138" t="s">
        <v>245</v>
      </c>
      <c r="M448" s="138" t="s">
        <v>835</v>
      </c>
      <c r="N448" s="138" t="s">
        <v>654</v>
      </c>
      <c r="O448" s="138" t="s">
        <v>714</v>
      </c>
      <c r="P448" s="141"/>
      <c r="Q448"/>
      <c r="R448" s="141"/>
      <c r="S448" s="141"/>
      <c r="T448" s="141"/>
      <c r="U448" s="141"/>
      <c r="V448" s="141"/>
      <c r="W448" s="141"/>
      <c r="X448" s="141"/>
      <c r="Y448" s="141"/>
      <c r="Z448" s="141"/>
      <c r="AA448" s="141"/>
      <c r="AB448" s="141"/>
    </row>
    <row r="449" spans="1:28">
      <c r="A449" t="str">
        <f t="shared" si="41"/>
        <v>10-27</v>
      </c>
      <c r="B449" t="str">
        <f t="shared" si="42"/>
        <v>AUD</v>
      </c>
      <c r="C449" s="138" t="s">
        <v>793</v>
      </c>
      <c r="D449" s="138">
        <v>1231027</v>
      </c>
      <c r="E449" s="138" t="s">
        <v>657</v>
      </c>
      <c r="F449" s="138" t="s">
        <v>1075</v>
      </c>
      <c r="G449" s="138" t="s">
        <v>1076</v>
      </c>
      <c r="H449" s="138" t="s">
        <v>145</v>
      </c>
      <c r="I449" s="138" t="s">
        <v>1509</v>
      </c>
      <c r="J449" s="138" t="s">
        <v>662</v>
      </c>
      <c r="K449" s="138" t="s">
        <v>1510</v>
      </c>
      <c r="L449" s="138" t="s">
        <v>245</v>
      </c>
      <c r="M449" s="138" t="s">
        <v>835</v>
      </c>
      <c r="N449" s="138" t="s">
        <v>654</v>
      </c>
      <c r="O449" s="138" t="s">
        <v>714</v>
      </c>
      <c r="P449" s="141"/>
      <c r="Q449"/>
      <c r="R449" s="141"/>
      <c r="S449" s="141"/>
      <c r="T449" s="141"/>
      <c r="U449" s="141"/>
      <c r="V449" s="141"/>
      <c r="W449" s="141"/>
      <c r="X449" s="141"/>
      <c r="Y449" s="141"/>
      <c r="Z449" s="141"/>
      <c r="AA449" s="141"/>
      <c r="AB449" s="141"/>
    </row>
    <row r="450" spans="1:28">
      <c r="A450" t="str">
        <f t="shared" si="41"/>
        <v>10-27</v>
      </c>
      <c r="B450" t="str">
        <f t="shared" si="42"/>
        <v>AUD</v>
      </c>
      <c r="C450" s="138" t="s">
        <v>793</v>
      </c>
      <c r="D450" s="138">
        <v>1231027</v>
      </c>
      <c r="E450" s="138" t="s">
        <v>657</v>
      </c>
      <c r="F450" s="138" t="s">
        <v>1075</v>
      </c>
      <c r="G450" s="138" t="s">
        <v>1076</v>
      </c>
      <c r="H450" s="138" t="s">
        <v>145</v>
      </c>
      <c r="I450" s="138" t="s">
        <v>1511</v>
      </c>
      <c r="J450" s="138" t="s">
        <v>662</v>
      </c>
      <c r="K450" s="138" t="s">
        <v>1512</v>
      </c>
      <c r="L450" s="138" t="s">
        <v>245</v>
      </c>
      <c r="M450" s="138" t="s">
        <v>835</v>
      </c>
      <c r="N450" s="138" t="s">
        <v>654</v>
      </c>
      <c r="O450" s="138" t="s">
        <v>714</v>
      </c>
      <c r="P450" s="141"/>
      <c r="Q450"/>
      <c r="R450" s="141"/>
      <c r="S450" s="141"/>
      <c r="T450" s="141"/>
      <c r="U450" s="141"/>
      <c r="V450" s="141"/>
      <c r="W450" s="141"/>
      <c r="X450" s="141"/>
      <c r="Y450" s="141"/>
      <c r="Z450" s="141"/>
      <c r="AA450" s="141"/>
      <c r="AB450" s="141"/>
    </row>
    <row r="451" spans="1:28">
      <c r="A451" t="str">
        <f t="shared" si="41"/>
        <v>10-27</v>
      </c>
      <c r="B451" t="str">
        <f t="shared" si="42"/>
        <v>AUD</v>
      </c>
      <c r="C451" s="138" t="s">
        <v>793</v>
      </c>
      <c r="D451" s="138">
        <v>1231027</v>
      </c>
      <c r="E451" s="138" t="s">
        <v>657</v>
      </c>
      <c r="F451" s="138" t="s">
        <v>794</v>
      </c>
      <c r="G451" s="138" t="s">
        <v>795</v>
      </c>
      <c r="H451" s="138" t="s">
        <v>145</v>
      </c>
      <c r="I451" s="138" t="s">
        <v>1513</v>
      </c>
      <c r="J451" s="138" t="s">
        <v>662</v>
      </c>
      <c r="K451" s="138" t="s">
        <v>1514</v>
      </c>
      <c r="L451" s="138" t="s">
        <v>245</v>
      </c>
      <c r="M451" s="138" t="s">
        <v>835</v>
      </c>
      <c r="N451" s="138" t="s">
        <v>654</v>
      </c>
      <c r="O451" s="138" t="s">
        <v>714</v>
      </c>
      <c r="P451" s="141"/>
      <c r="Q451"/>
      <c r="R451" s="141"/>
      <c r="S451" s="141"/>
      <c r="T451" s="141"/>
      <c r="U451" s="141"/>
      <c r="V451" s="141"/>
      <c r="W451" s="141"/>
      <c r="X451" s="141"/>
      <c r="Y451" s="141"/>
      <c r="Z451" s="141"/>
      <c r="AA451" s="141"/>
      <c r="AB451" s="141"/>
    </row>
    <row r="452" spans="1:28">
      <c r="A452" t="str">
        <f t="shared" si="41"/>
        <v>10-27</v>
      </c>
      <c r="B452" t="str">
        <f t="shared" si="42"/>
        <v>AUD</v>
      </c>
      <c r="C452" s="138" t="s">
        <v>793</v>
      </c>
      <c r="D452" s="138">
        <v>1231027</v>
      </c>
      <c r="E452" s="138" t="s">
        <v>657</v>
      </c>
      <c r="F452" s="138" t="s">
        <v>794</v>
      </c>
      <c r="G452" s="138" t="s">
        <v>795</v>
      </c>
      <c r="H452" s="138" t="s">
        <v>145</v>
      </c>
      <c r="I452" s="138" t="s">
        <v>1515</v>
      </c>
      <c r="J452" s="138" t="s">
        <v>662</v>
      </c>
      <c r="K452" s="138" t="s">
        <v>1516</v>
      </c>
      <c r="L452" s="138" t="s">
        <v>245</v>
      </c>
      <c r="M452" s="138" t="s">
        <v>835</v>
      </c>
      <c r="N452" s="138" t="s">
        <v>654</v>
      </c>
      <c r="O452" s="138" t="s">
        <v>714</v>
      </c>
      <c r="P452" s="141"/>
      <c r="Q452"/>
      <c r="R452" s="141"/>
      <c r="S452" s="141"/>
      <c r="T452" s="141"/>
      <c r="U452" s="141"/>
      <c r="V452" s="141"/>
      <c r="W452" s="141"/>
      <c r="X452" s="141"/>
      <c r="Y452" s="141"/>
      <c r="Z452" s="141"/>
      <c r="AA452" s="141"/>
      <c r="AB452" s="141"/>
    </row>
    <row r="453" spans="1:28">
      <c r="A453" t="str">
        <f t="shared" si="41"/>
        <v>10-27</v>
      </c>
      <c r="B453" t="str">
        <f t="shared" si="42"/>
        <v>AUD</v>
      </c>
      <c r="C453" s="138" t="s">
        <v>793</v>
      </c>
      <c r="D453" s="138">
        <v>1231027</v>
      </c>
      <c r="E453" s="138" t="s">
        <v>657</v>
      </c>
      <c r="F453" s="138" t="s">
        <v>794</v>
      </c>
      <c r="G453" s="138" t="s">
        <v>795</v>
      </c>
      <c r="H453" s="138" t="s">
        <v>145</v>
      </c>
      <c r="I453" s="138" t="s">
        <v>1517</v>
      </c>
      <c r="J453" s="138" t="s">
        <v>662</v>
      </c>
      <c r="K453" s="138" t="s">
        <v>1518</v>
      </c>
      <c r="L453" s="138" t="s">
        <v>245</v>
      </c>
      <c r="M453" s="138" t="s">
        <v>835</v>
      </c>
      <c r="N453" s="138" t="s">
        <v>654</v>
      </c>
      <c r="O453" s="138" t="s">
        <v>714</v>
      </c>
      <c r="Q453"/>
    </row>
    <row r="454" spans="1:28">
      <c r="A454" t="str">
        <f t="shared" si="41"/>
        <v>10-27</v>
      </c>
      <c r="B454" t="str">
        <f t="shared" si="42"/>
        <v>AUD</v>
      </c>
      <c r="C454" s="138" t="s">
        <v>793</v>
      </c>
      <c r="D454" s="138">
        <v>1231027</v>
      </c>
      <c r="E454" s="138" t="s">
        <v>657</v>
      </c>
      <c r="F454" s="138" t="s">
        <v>794</v>
      </c>
      <c r="G454" s="138" t="s">
        <v>795</v>
      </c>
      <c r="H454" s="138" t="s">
        <v>145</v>
      </c>
      <c r="I454" s="138" t="s">
        <v>1519</v>
      </c>
      <c r="J454" s="138" t="s">
        <v>662</v>
      </c>
      <c r="K454" s="138" t="s">
        <v>1520</v>
      </c>
      <c r="L454" s="138" t="s">
        <v>245</v>
      </c>
      <c r="M454" s="138" t="s">
        <v>835</v>
      </c>
      <c r="N454" s="138" t="s">
        <v>654</v>
      </c>
      <c r="O454" s="138" t="s">
        <v>714</v>
      </c>
      <c r="Q454"/>
    </row>
    <row r="455" spans="1:28">
      <c r="A455" t="str">
        <f t="shared" si="41"/>
        <v>10-27</v>
      </c>
      <c r="B455" t="str">
        <f t="shared" si="42"/>
        <v>AUD</v>
      </c>
      <c r="C455" s="138" t="s">
        <v>793</v>
      </c>
      <c r="D455" s="138">
        <v>1231027</v>
      </c>
      <c r="E455" s="138" t="s">
        <v>657</v>
      </c>
      <c r="F455" s="138" t="s">
        <v>794</v>
      </c>
      <c r="G455" s="138" t="s">
        <v>795</v>
      </c>
      <c r="H455" s="138" t="s">
        <v>145</v>
      </c>
      <c r="I455" s="138" t="s">
        <v>1521</v>
      </c>
      <c r="J455" s="138" t="s">
        <v>662</v>
      </c>
      <c r="K455" s="138" t="s">
        <v>1522</v>
      </c>
      <c r="L455" s="138" t="s">
        <v>245</v>
      </c>
      <c r="M455" s="138" t="s">
        <v>835</v>
      </c>
      <c r="N455" s="138" t="s">
        <v>654</v>
      </c>
      <c r="O455" s="138" t="s">
        <v>714</v>
      </c>
      <c r="Q455"/>
    </row>
    <row r="456" spans="1:28">
      <c r="A456" t="str">
        <f t="shared" si="41"/>
        <v>10-27</v>
      </c>
      <c r="B456" t="str">
        <f t="shared" si="42"/>
        <v>AUD</v>
      </c>
      <c r="C456" s="138" t="s">
        <v>793</v>
      </c>
      <c r="D456" s="138">
        <v>1231027</v>
      </c>
      <c r="E456" s="138" t="s">
        <v>657</v>
      </c>
      <c r="F456" s="138" t="s">
        <v>794</v>
      </c>
      <c r="G456" s="138" t="s">
        <v>795</v>
      </c>
      <c r="H456" s="138" t="s">
        <v>145</v>
      </c>
      <c r="I456" s="138" t="s">
        <v>1523</v>
      </c>
      <c r="J456" s="138" t="s">
        <v>662</v>
      </c>
      <c r="K456" s="138" t="s">
        <v>1524</v>
      </c>
      <c r="L456" s="138" t="s">
        <v>245</v>
      </c>
      <c r="M456" s="138" t="s">
        <v>835</v>
      </c>
      <c r="N456" s="138" t="s">
        <v>654</v>
      </c>
      <c r="O456" s="138" t="s">
        <v>714</v>
      </c>
      <c r="Q456"/>
    </row>
    <row r="457" spans="1:28">
      <c r="A457" t="str">
        <f t="shared" si="41"/>
        <v>10-27</v>
      </c>
      <c r="B457" t="str">
        <f t="shared" si="42"/>
        <v>AUD</v>
      </c>
      <c r="C457" s="138" t="s">
        <v>793</v>
      </c>
      <c r="D457" s="138">
        <v>1231027</v>
      </c>
      <c r="E457" s="138" t="s">
        <v>657</v>
      </c>
      <c r="F457" s="138" t="s">
        <v>794</v>
      </c>
      <c r="G457" s="138" t="s">
        <v>795</v>
      </c>
      <c r="H457" s="138" t="s">
        <v>145</v>
      </c>
      <c r="I457" s="138" t="s">
        <v>1525</v>
      </c>
      <c r="J457" s="138" t="s">
        <v>662</v>
      </c>
      <c r="K457" s="138" t="s">
        <v>1526</v>
      </c>
      <c r="L457" s="138" t="s">
        <v>245</v>
      </c>
      <c r="M457" s="138" t="s">
        <v>835</v>
      </c>
      <c r="N457" s="138" t="s">
        <v>654</v>
      </c>
      <c r="O457" s="138" t="s">
        <v>714</v>
      </c>
      <c r="Q457"/>
    </row>
    <row r="458" spans="1:28">
      <c r="A458" t="str">
        <f t="shared" si="41"/>
        <v>10-27</v>
      </c>
      <c r="B458" t="str">
        <f t="shared" si="42"/>
        <v>AUD</v>
      </c>
      <c r="C458" s="138" t="s">
        <v>793</v>
      </c>
      <c r="D458" s="138">
        <v>1231027</v>
      </c>
      <c r="E458" s="138" t="s">
        <v>657</v>
      </c>
      <c r="F458" s="138" t="s">
        <v>794</v>
      </c>
      <c r="G458" s="138" t="s">
        <v>795</v>
      </c>
      <c r="H458" s="138" t="s">
        <v>145</v>
      </c>
      <c r="I458" s="138" t="s">
        <v>1527</v>
      </c>
      <c r="J458" s="138" t="s">
        <v>662</v>
      </c>
      <c r="K458" s="138" t="s">
        <v>1528</v>
      </c>
      <c r="L458" s="138" t="s">
        <v>245</v>
      </c>
      <c r="M458" s="138" t="s">
        <v>835</v>
      </c>
      <c r="N458" s="138" t="s">
        <v>654</v>
      </c>
      <c r="O458" s="138" t="s">
        <v>714</v>
      </c>
      <c r="Q458"/>
    </row>
    <row r="459" spans="1:28">
      <c r="A459" t="str">
        <f t="shared" si="41"/>
        <v>10-27</v>
      </c>
      <c r="B459" t="str">
        <f t="shared" si="42"/>
        <v>AUD</v>
      </c>
      <c r="C459" s="138" t="s">
        <v>793</v>
      </c>
      <c r="D459" s="138">
        <v>1231027</v>
      </c>
      <c r="E459" s="138" t="s">
        <v>657</v>
      </c>
      <c r="F459" s="138" t="s">
        <v>794</v>
      </c>
      <c r="G459" s="138" t="s">
        <v>795</v>
      </c>
      <c r="H459" s="138" t="s">
        <v>145</v>
      </c>
      <c r="I459" s="138" t="s">
        <v>1529</v>
      </c>
      <c r="J459" s="138" t="s">
        <v>662</v>
      </c>
      <c r="K459" s="138" t="s">
        <v>1530</v>
      </c>
      <c r="L459" s="138" t="s">
        <v>245</v>
      </c>
      <c r="M459" s="138" t="s">
        <v>835</v>
      </c>
      <c r="N459" s="138" t="s">
        <v>654</v>
      </c>
      <c r="O459" s="138" t="s">
        <v>714</v>
      </c>
      <c r="Q459"/>
    </row>
    <row r="460" spans="1:28">
      <c r="A460" t="str">
        <f t="shared" si="41"/>
        <v>10-27</v>
      </c>
      <c r="B460" t="str">
        <f t="shared" si="42"/>
        <v>AUD</v>
      </c>
      <c r="C460" s="138" t="s">
        <v>793</v>
      </c>
      <c r="D460" s="138">
        <v>1231027</v>
      </c>
      <c r="E460" s="138" t="s">
        <v>657</v>
      </c>
      <c r="F460" s="138" t="s">
        <v>794</v>
      </c>
      <c r="G460" s="138" t="s">
        <v>795</v>
      </c>
      <c r="H460" s="138" t="s">
        <v>145</v>
      </c>
      <c r="I460" s="138" t="s">
        <v>1531</v>
      </c>
      <c r="J460" s="138" t="s">
        <v>662</v>
      </c>
      <c r="K460" s="138" t="s">
        <v>1532</v>
      </c>
      <c r="L460" s="138" t="s">
        <v>245</v>
      </c>
      <c r="M460" s="138" t="s">
        <v>835</v>
      </c>
      <c r="N460" s="138" t="s">
        <v>654</v>
      </c>
      <c r="O460" s="138" t="s">
        <v>714</v>
      </c>
      <c r="Q460"/>
    </row>
    <row r="461" spans="1:28">
      <c r="A461" t="str">
        <f t="shared" ref="A461:A466" si="43">MID(D461,(LEN(D461)-3),2)&amp;"-"&amp;MID(D461,(LEN(D461)-1),2)</f>
        <v>10-27</v>
      </c>
      <c r="B461" t="str">
        <f t="shared" ref="B461:B466" si="44">IF(H461="AU","AUD","USD")</f>
        <v>AUD</v>
      </c>
      <c r="C461" s="138" t="s">
        <v>793</v>
      </c>
      <c r="D461" s="138">
        <v>1231027</v>
      </c>
      <c r="E461" s="138" t="s">
        <v>657</v>
      </c>
      <c r="F461" s="138" t="s">
        <v>794</v>
      </c>
      <c r="G461" s="138" t="s">
        <v>795</v>
      </c>
      <c r="H461" s="138" t="s">
        <v>145</v>
      </c>
      <c r="I461" s="138" t="s">
        <v>1533</v>
      </c>
      <c r="J461" s="138" t="s">
        <v>662</v>
      </c>
      <c r="K461" s="138" t="s">
        <v>1534</v>
      </c>
      <c r="L461" s="138" t="s">
        <v>245</v>
      </c>
      <c r="M461" s="138" t="s">
        <v>835</v>
      </c>
      <c r="N461" s="138" t="s">
        <v>654</v>
      </c>
      <c r="O461" s="138" t="s">
        <v>714</v>
      </c>
      <c r="Q461"/>
    </row>
    <row r="462" spans="1:28">
      <c r="A462" t="str">
        <f t="shared" si="43"/>
        <v>10-27</v>
      </c>
      <c r="B462" t="str">
        <f t="shared" si="44"/>
        <v>AUD</v>
      </c>
      <c r="C462" s="138" t="s">
        <v>793</v>
      </c>
      <c r="D462" s="138">
        <v>1231027</v>
      </c>
      <c r="E462" s="138" t="s">
        <v>657</v>
      </c>
      <c r="F462" s="138" t="s">
        <v>794</v>
      </c>
      <c r="G462" s="138" t="s">
        <v>795</v>
      </c>
      <c r="H462" s="138" t="s">
        <v>145</v>
      </c>
      <c r="I462" s="138" t="s">
        <v>1535</v>
      </c>
      <c r="J462" s="138" t="s">
        <v>662</v>
      </c>
      <c r="K462" s="138" t="s">
        <v>1536</v>
      </c>
      <c r="L462" s="138" t="s">
        <v>245</v>
      </c>
      <c r="M462" s="138" t="s">
        <v>835</v>
      </c>
      <c r="N462" s="138" t="s">
        <v>654</v>
      </c>
      <c r="O462" s="138" t="s">
        <v>714</v>
      </c>
      <c r="Q462"/>
    </row>
    <row r="463" spans="1:28">
      <c r="A463" t="str">
        <f t="shared" si="43"/>
        <v>10-27</v>
      </c>
      <c r="B463" t="str">
        <f t="shared" si="44"/>
        <v>AUD</v>
      </c>
      <c r="C463" s="138" t="s">
        <v>793</v>
      </c>
      <c r="D463" s="138">
        <v>1231027</v>
      </c>
      <c r="E463" s="138" t="s">
        <v>657</v>
      </c>
      <c r="F463" s="138" t="s">
        <v>794</v>
      </c>
      <c r="G463" s="138" t="s">
        <v>795</v>
      </c>
      <c r="H463" s="138" t="s">
        <v>145</v>
      </c>
      <c r="I463" s="138" t="s">
        <v>1537</v>
      </c>
      <c r="J463" s="138" t="s">
        <v>662</v>
      </c>
      <c r="K463" s="138" t="s">
        <v>1538</v>
      </c>
      <c r="L463" s="138" t="s">
        <v>245</v>
      </c>
      <c r="M463" s="138" t="s">
        <v>835</v>
      </c>
      <c r="N463" s="138" t="s">
        <v>654</v>
      </c>
      <c r="O463" s="138" t="s">
        <v>714</v>
      </c>
      <c r="Q463"/>
    </row>
    <row r="464" spans="1:28">
      <c r="A464" t="str">
        <f t="shared" si="43"/>
        <v>10-27</v>
      </c>
      <c r="B464" t="str">
        <f t="shared" si="44"/>
        <v>AUD</v>
      </c>
      <c r="C464" s="138" t="s">
        <v>793</v>
      </c>
      <c r="D464" s="138">
        <v>1231027</v>
      </c>
      <c r="E464" s="138" t="s">
        <v>657</v>
      </c>
      <c r="F464" s="138" t="s">
        <v>794</v>
      </c>
      <c r="G464" s="138" t="s">
        <v>795</v>
      </c>
      <c r="H464" s="138" t="s">
        <v>145</v>
      </c>
      <c r="I464" s="138" t="s">
        <v>1539</v>
      </c>
      <c r="J464" s="138" t="s">
        <v>662</v>
      </c>
      <c r="K464" s="138" t="s">
        <v>1540</v>
      </c>
      <c r="L464" s="138" t="s">
        <v>245</v>
      </c>
      <c r="M464" s="138" t="s">
        <v>835</v>
      </c>
      <c r="N464" s="138" t="s">
        <v>654</v>
      </c>
      <c r="O464" s="138" t="s">
        <v>714</v>
      </c>
      <c r="Q464"/>
    </row>
    <row r="465" spans="1:17">
      <c r="A465" t="str">
        <f t="shared" si="43"/>
        <v>10-27</v>
      </c>
      <c r="B465" t="str">
        <f t="shared" si="44"/>
        <v>AUD</v>
      </c>
      <c r="C465" s="138" t="s">
        <v>793</v>
      </c>
      <c r="D465" s="138">
        <v>1231027</v>
      </c>
      <c r="E465" s="138" t="s">
        <v>657</v>
      </c>
      <c r="F465" s="138" t="s">
        <v>794</v>
      </c>
      <c r="G465" s="138" t="s">
        <v>795</v>
      </c>
      <c r="H465" s="138" t="s">
        <v>145</v>
      </c>
      <c r="I465" s="138" t="s">
        <v>1541</v>
      </c>
      <c r="J465" s="138" t="s">
        <v>662</v>
      </c>
      <c r="K465" s="138" t="s">
        <v>1542</v>
      </c>
      <c r="L465" s="138" t="s">
        <v>245</v>
      </c>
      <c r="M465" s="138" t="s">
        <v>835</v>
      </c>
      <c r="N465" s="138" t="s">
        <v>654</v>
      </c>
      <c r="O465" s="138" t="s">
        <v>714</v>
      </c>
      <c r="Q465"/>
    </row>
    <row r="466" spans="1:17">
      <c r="A466" t="str">
        <f t="shared" si="43"/>
        <v>10-27</v>
      </c>
      <c r="B466" t="str">
        <f t="shared" si="44"/>
        <v>AUD</v>
      </c>
      <c r="C466" s="138" t="s">
        <v>793</v>
      </c>
      <c r="D466" s="138">
        <v>1231027</v>
      </c>
      <c r="E466" s="138" t="s">
        <v>657</v>
      </c>
      <c r="F466" s="138" t="s">
        <v>794</v>
      </c>
      <c r="G466" s="138" t="s">
        <v>795</v>
      </c>
      <c r="H466" s="138" t="s">
        <v>145</v>
      </c>
      <c r="I466" s="138" t="s">
        <v>1543</v>
      </c>
      <c r="J466" s="138" t="s">
        <v>662</v>
      </c>
      <c r="K466" s="138" t="s">
        <v>1544</v>
      </c>
      <c r="L466" s="138" t="s">
        <v>245</v>
      </c>
      <c r="M466" s="138" t="s">
        <v>835</v>
      </c>
      <c r="N466" s="138" t="s">
        <v>654</v>
      </c>
      <c r="O466" s="138" t="s">
        <v>714</v>
      </c>
      <c r="Q466"/>
    </row>
    <row r="467" spans="1:17">
      <c r="A467" t="str">
        <f t="shared" ref="A467:A470" si="45">MID(D467,(LEN(D467)-3),2)&amp;"-"&amp;MID(D467,(LEN(D467)-1),2)</f>
        <v>10-27</v>
      </c>
      <c r="B467" t="str">
        <f t="shared" ref="B467:B470" si="46">IF(H467="AU","AUD","USD")</f>
        <v>AUD</v>
      </c>
      <c r="C467" s="138" t="s">
        <v>793</v>
      </c>
      <c r="D467" s="138">
        <v>1231027</v>
      </c>
      <c r="E467" s="138" t="s">
        <v>657</v>
      </c>
      <c r="F467" s="138" t="s">
        <v>794</v>
      </c>
      <c r="G467" s="138" t="s">
        <v>795</v>
      </c>
      <c r="H467" s="138" t="s">
        <v>145</v>
      </c>
      <c r="I467" s="138" t="s">
        <v>1545</v>
      </c>
      <c r="J467" s="138" t="s">
        <v>662</v>
      </c>
      <c r="K467" s="138" t="s">
        <v>1546</v>
      </c>
      <c r="L467" s="138" t="s">
        <v>245</v>
      </c>
      <c r="M467" s="138" t="s">
        <v>835</v>
      </c>
      <c r="N467" s="138" t="s">
        <v>654</v>
      </c>
      <c r="O467" s="138" t="s">
        <v>714</v>
      </c>
      <c r="Q467"/>
    </row>
    <row r="468" spans="1:17">
      <c r="A468" t="str">
        <f t="shared" si="45"/>
        <v>10-27</v>
      </c>
      <c r="B468" t="str">
        <f t="shared" si="46"/>
        <v>AUD</v>
      </c>
      <c r="C468" s="138" t="s">
        <v>793</v>
      </c>
      <c r="D468" s="138">
        <v>1231027</v>
      </c>
      <c r="E468" s="138" t="s">
        <v>657</v>
      </c>
      <c r="F468" s="138" t="s">
        <v>794</v>
      </c>
      <c r="G468" s="138" t="s">
        <v>795</v>
      </c>
      <c r="H468" s="138" t="s">
        <v>145</v>
      </c>
      <c r="I468" s="138" t="s">
        <v>1547</v>
      </c>
      <c r="J468" s="138" t="s">
        <v>662</v>
      </c>
      <c r="K468" s="138" t="s">
        <v>1548</v>
      </c>
      <c r="L468" s="138" t="s">
        <v>245</v>
      </c>
      <c r="M468" s="138" t="s">
        <v>835</v>
      </c>
      <c r="N468" s="138" t="s">
        <v>654</v>
      </c>
      <c r="O468" s="138" t="s">
        <v>714</v>
      </c>
      <c r="Q468"/>
    </row>
    <row r="469" spans="1:17">
      <c r="A469" t="str">
        <f t="shared" si="45"/>
        <v>10-27</v>
      </c>
      <c r="B469" t="str">
        <f t="shared" si="46"/>
        <v>AUD</v>
      </c>
      <c r="C469" s="138" t="s">
        <v>793</v>
      </c>
      <c r="D469" s="138">
        <v>1231027</v>
      </c>
      <c r="E469" s="138" t="s">
        <v>657</v>
      </c>
      <c r="F469" s="138" t="s">
        <v>794</v>
      </c>
      <c r="G469" s="138" t="s">
        <v>795</v>
      </c>
      <c r="H469" s="138" t="s">
        <v>145</v>
      </c>
      <c r="I469" s="138" t="s">
        <v>1549</v>
      </c>
      <c r="J469" s="138" t="s">
        <v>662</v>
      </c>
      <c r="K469" s="138" t="s">
        <v>1550</v>
      </c>
      <c r="L469" s="138" t="s">
        <v>245</v>
      </c>
      <c r="M469" s="138" t="s">
        <v>835</v>
      </c>
      <c r="N469" s="138" t="s">
        <v>654</v>
      </c>
      <c r="O469" s="138" t="s">
        <v>714</v>
      </c>
      <c r="Q469"/>
    </row>
    <row r="470" spans="1:17">
      <c r="A470" t="str">
        <f t="shared" si="45"/>
        <v>10-27</v>
      </c>
      <c r="B470" t="str">
        <f t="shared" si="46"/>
        <v>AUD</v>
      </c>
      <c r="C470" s="138" t="s">
        <v>793</v>
      </c>
      <c r="D470" s="138">
        <v>1231027</v>
      </c>
      <c r="E470" s="138" t="s">
        <v>657</v>
      </c>
      <c r="F470" s="138" t="s">
        <v>794</v>
      </c>
      <c r="G470" s="138" t="s">
        <v>795</v>
      </c>
      <c r="H470" s="138" t="s">
        <v>145</v>
      </c>
      <c r="I470" s="138" t="s">
        <v>1551</v>
      </c>
      <c r="J470" s="138" t="s">
        <v>662</v>
      </c>
      <c r="K470" s="138" t="s">
        <v>1552</v>
      </c>
      <c r="L470" s="138" t="s">
        <v>245</v>
      </c>
      <c r="M470" s="138" t="s">
        <v>835</v>
      </c>
      <c r="N470" s="138" t="s">
        <v>654</v>
      </c>
      <c r="O470" s="138" t="s">
        <v>714</v>
      </c>
      <c r="Q470"/>
    </row>
    <row r="471" spans="1:17">
      <c r="A471" t="str">
        <f t="shared" ref="A471:A500" si="47">MID(D471,(LEN(D471)-3),2)&amp;"-"&amp;MID(D471,(LEN(D471)-1),2)</f>
        <v>10-27</v>
      </c>
      <c r="B471" t="str">
        <f t="shared" ref="B471:B500" si="48">IF(H471="AU","AUD","USD")</f>
        <v>AUD</v>
      </c>
      <c r="C471" s="141" t="s">
        <v>793</v>
      </c>
      <c r="D471" s="141">
        <v>1231027</v>
      </c>
      <c r="E471" s="141" t="s">
        <v>657</v>
      </c>
      <c r="F471" s="141" t="s">
        <v>819</v>
      </c>
      <c r="G471" s="141" t="s">
        <v>820</v>
      </c>
      <c r="H471" s="141" t="s">
        <v>145</v>
      </c>
      <c r="I471" s="141" t="s">
        <v>1553</v>
      </c>
      <c r="J471" s="141" t="s">
        <v>662</v>
      </c>
      <c r="K471" s="141" t="s">
        <v>1554</v>
      </c>
      <c r="L471" s="141" t="s">
        <v>245</v>
      </c>
      <c r="M471" s="141" t="s">
        <v>835</v>
      </c>
      <c r="N471" s="141" t="s">
        <v>654</v>
      </c>
      <c r="O471" s="141" t="s">
        <v>714</v>
      </c>
      <c r="Q471"/>
    </row>
    <row r="472" spans="1:17">
      <c r="A472" t="str">
        <f t="shared" si="47"/>
        <v>10-27</v>
      </c>
      <c r="B472" t="str">
        <f t="shared" si="48"/>
        <v>AUD</v>
      </c>
      <c r="C472" s="141" t="s">
        <v>793</v>
      </c>
      <c r="D472" s="141">
        <v>1231027</v>
      </c>
      <c r="E472" s="141" t="s">
        <v>657</v>
      </c>
      <c r="F472" s="141" t="s">
        <v>819</v>
      </c>
      <c r="G472" s="141" t="s">
        <v>820</v>
      </c>
      <c r="H472" s="141" t="s">
        <v>145</v>
      </c>
      <c r="I472" s="141" t="s">
        <v>1555</v>
      </c>
      <c r="J472" s="141" t="s">
        <v>662</v>
      </c>
      <c r="K472" s="141" t="s">
        <v>1556</v>
      </c>
      <c r="L472" s="141" t="s">
        <v>245</v>
      </c>
      <c r="M472" s="141" t="s">
        <v>835</v>
      </c>
      <c r="N472" s="141" t="s">
        <v>654</v>
      </c>
      <c r="O472" s="141" t="s">
        <v>714</v>
      </c>
      <c r="Q472"/>
    </row>
    <row r="473" spans="1:17">
      <c r="A473" t="str">
        <f t="shared" si="47"/>
        <v>10-27</v>
      </c>
      <c r="B473" t="str">
        <f t="shared" si="48"/>
        <v>AUD</v>
      </c>
      <c r="C473" s="141" t="s">
        <v>793</v>
      </c>
      <c r="D473" s="141">
        <v>1231027</v>
      </c>
      <c r="E473" s="141" t="s">
        <v>657</v>
      </c>
      <c r="F473" s="141" t="s">
        <v>819</v>
      </c>
      <c r="G473" s="141" t="s">
        <v>820</v>
      </c>
      <c r="H473" s="141" t="s">
        <v>145</v>
      </c>
      <c r="I473" s="141" t="s">
        <v>1557</v>
      </c>
      <c r="J473" s="141" t="s">
        <v>662</v>
      </c>
      <c r="K473" s="141" t="s">
        <v>1558</v>
      </c>
      <c r="L473" s="141" t="s">
        <v>245</v>
      </c>
      <c r="M473" s="141" t="s">
        <v>835</v>
      </c>
      <c r="N473" s="141" t="s">
        <v>654</v>
      </c>
      <c r="O473" s="141" t="s">
        <v>714</v>
      </c>
      <c r="Q473"/>
    </row>
    <row r="474" spans="1:17">
      <c r="A474" t="str">
        <f t="shared" si="47"/>
        <v>10-27</v>
      </c>
      <c r="B474" t="str">
        <f t="shared" si="48"/>
        <v>AUD</v>
      </c>
      <c r="C474" s="141" t="s">
        <v>793</v>
      </c>
      <c r="D474" s="141">
        <v>1231027</v>
      </c>
      <c r="E474" s="141" t="s">
        <v>657</v>
      </c>
      <c r="F474" s="141" t="s">
        <v>819</v>
      </c>
      <c r="G474" s="141" t="s">
        <v>820</v>
      </c>
      <c r="H474" s="141" t="s">
        <v>145</v>
      </c>
      <c r="I474" s="141" t="s">
        <v>1559</v>
      </c>
      <c r="J474" s="141" t="s">
        <v>662</v>
      </c>
      <c r="K474" s="141" t="s">
        <v>1560</v>
      </c>
      <c r="L474" s="141" t="s">
        <v>245</v>
      </c>
      <c r="M474" s="141" t="s">
        <v>835</v>
      </c>
      <c r="N474" s="141" t="s">
        <v>654</v>
      </c>
      <c r="O474" s="141" t="s">
        <v>714</v>
      </c>
      <c r="Q474"/>
    </row>
    <row r="475" spans="1:17">
      <c r="A475" t="str">
        <f t="shared" si="47"/>
        <v>10-27</v>
      </c>
      <c r="B475" t="str">
        <f t="shared" si="48"/>
        <v>AUD</v>
      </c>
      <c r="C475" s="141" t="s">
        <v>793</v>
      </c>
      <c r="D475" s="141">
        <v>1231027</v>
      </c>
      <c r="E475" s="141" t="s">
        <v>657</v>
      </c>
      <c r="F475" s="141" t="s">
        <v>819</v>
      </c>
      <c r="G475" s="141" t="s">
        <v>820</v>
      </c>
      <c r="H475" s="141" t="s">
        <v>145</v>
      </c>
      <c r="I475" s="141" t="s">
        <v>1561</v>
      </c>
      <c r="J475" s="141" t="s">
        <v>662</v>
      </c>
      <c r="K475" s="141" t="s">
        <v>1562</v>
      </c>
      <c r="L475" s="141" t="s">
        <v>245</v>
      </c>
      <c r="M475" s="141" t="s">
        <v>835</v>
      </c>
      <c r="N475" s="141" t="s">
        <v>654</v>
      </c>
      <c r="O475" s="141" t="s">
        <v>714</v>
      </c>
      <c r="Q475"/>
    </row>
    <row r="476" spans="1:17">
      <c r="A476" t="str">
        <f t="shared" si="47"/>
        <v>10-27</v>
      </c>
      <c r="B476" t="str">
        <f t="shared" si="48"/>
        <v>AUD</v>
      </c>
      <c r="C476" s="141" t="s">
        <v>793</v>
      </c>
      <c r="D476" s="141">
        <v>1231027</v>
      </c>
      <c r="E476" s="141" t="s">
        <v>657</v>
      </c>
      <c r="F476" s="141" t="s">
        <v>819</v>
      </c>
      <c r="G476" s="141" t="s">
        <v>820</v>
      </c>
      <c r="H476" s="141" t="s">
        <v>145</v>
      </c>
      <c r="I476" s="141" t="s">
        <v>1563</v>
      </c>
      <c r="J476" s="141" t="s">
        <v>662</v>
      </c>
      <c r="K476" s="141" t="s">
        <v>1564</v>
      </c>
      <c r="L476" s="141" t="s">
        <v>245</v>
      </c>
      <c r="M476" s="141" t="s">
        <v>835</v>
      </c>
      <c r="N476" s="141" t="s">
        <v>654</v>
      </c>
      <c r="O476" s="141" t="s">
        <v>714</v>
      </c>
      <c r="Q476"/>
    </row>
    <row r="477" spans="1:17">
      <c r="A477" t="str">
        <f t="shared" si="47"/>
        <v>10-27</v>
      </c>
      <c r="B477" t="str">
        <f t="shared" si="48"/>
        <v>AUD</v>
      </c>
      <c r="C477" s="141" t="s">
        <v>793</v>
      </c>
      <c r="D477" s="141">
        <v>1231027</v>
      </c>
      <c r="E477" s="141" t="s">
        <v>657</v>
      </c>
      <c r="F477" s="141" t="s">
        <v>819</v>
      </c>
      <c r="G477" s="141" t="s">
        <v>820</v>
      </c>
      <c r="H477" s="141" t="s">
        <v>145</v>
      </c>
      <c r="I477" s="141" t="s">
        <v>1565</v>
      </c>
      <c r="J477" s="141" t="s">
        <v>662</v>
      </c>
      <c r="K477" s="141" t="s">
        <v>1566</v>
      </c>
      <c r="L477" s="141" t="s">
        <v>245</v>
      </c>
      <c r="M477" s="141" t="s">
        <v>835</v>
      </c>
      <c r="N477" s="141" t="s">
        <v>654</v>
      </c>
      <c r="O477" s="141" t="s">
        <v>714</v>
      </c>
      <c r="Q477"/>
    </row>
    <row r="478" spans="1:17">
      <c r="A478" t="str">
        <f t="shared" si="47"/>
        <v>10-27</v>
      </c>
      <c r="B478" t="str">
        <f t="shared" si="48"/>
        <v>AUD</v>
      </c>
      <c r="C478" s="141" t="s">
        <v>793</v>
      </c>
      <c r="D478" s="141">
        <v>1231027</v>
      </c>
      <c r="E478" s="141" t="s">
        <v>657</v>
      </c>
      <c r="F478" s="141" t="s">
        <v>819</v>
      </c>
      <c r="G478" s="141" t="s">
        <v>820</v>
      </c>
      <c r="H478" s="141" t="s">
        <v>145</v>
      </c>
      <c r="I478" s="141" t="s">
        <v>1567</v>
      </c>
      <c r="J478" s="141" t="s">
        <v>662</v>
      </c>
      <c r="K478" s="141" t="s">
        <v>1568</v>
      </c>
      <c r="L478" s="141" t="s">
        <v>245</v>
      </c>
      <c r="M478" s="141" t="s">
        <v>835</v>
      </c>
      <c r="N478" s="141" t="s">
        <v>654</v>
      </c>
      <c r="O478" s="141" t="s">
        <v>714</v>
      </c>
      <c r="Q478"/>
    </row>
    <row r="479" spans="1:17">
      <c r="A479" t="str">
        <f t="shared" si="47"/>
        <v>10-27</v>
      </c>
      <c r="B479" t="str">
        <f t="shared" si="48"/>
        <v>AUD</v>
      </c>
      <c r="C479" s="141" t="s">
        <v>793</v>
      </c>
      <c r="D479" s="141">
        <v>1231027</v>
      </c>
      <c r="E479" s="141" t="s">
        <v>657</v>
      </c>
      <c r="F479" s="141" t="s">
        <v>819</v>
      </c>
      <c r="G479" s="141" t="s">
        <v>820</v>
      </c>
      <c r="H479" s="141" t="s">
        <v>145</v>
      </c>
      <c r="I479" s="141" t="s">
        <v>1569</v>
      </c>
      <c r="J479" s="141" t="s">
        <v>662</v>
      </c>
      <c r="K479" s="141" t="s">
        <v>1570</v>
      </c>
      <c r="L479" s="141" t="s">
        <v>245</v>
      </c>
      <c r="M479" s="141" t="s">
        <v>835</v>
      </c>
      <c r="N479" s="141" t="s">
        <v>654</v>
      </c>
      <c r="O479" s="141" t="s">
        <v>714</v>
      </c>
      <c r="Q479"/>
    </row>
    <row r="480" spans="1:17">
      <c r="A480" t="str">
        <f t="shared" si="47"/>
        <v>10-27</v>
      </c>
      <c r="B480" t="str">
        <f t="shared" si="48"/>
        <v>AUD</v>
      </c>
      <c r="C480" s="141" t="s">
        <v>793</v>
      </c>
      <c r="D480" s="141">
        <v>1231027</v>
      </c>
      <c r="E480" s="141" t="s">
        <v>657</v>
      </c>
      <c r="F480" s="141" t="s">
        <v>819</v>
      </c>
      <c r="G480" s="141" t="s">
        <v>820</v>
      </c>
      <c r="H480" s="141" t="s">
        <v>145</v>
      </c>
      <c r="I480" s="141" t="s">
        <v>1571</v>
      </c>
      <c r="J480" s="141" t="s">
        <v>662</v>
      </c>
      <c r="K480" s="141" t="s">
        <v>1572</v>
      </c>
      <c r="L480" s="141" t="s">
        <v>245</v>
      </c>
      <c r="M480" s="141" t="s">
        <v>835</v>
      </c>
      <c r="N480" s="141" t="s">
        <v>654</v>
      </c>
      <c r="O480" s="141" t="s">
        <v>714</v>
      </c>
      <c r="Q480"/>
    </row>
    <row r="481" spans="1:17">
      <c r="A481" t="str">
        <f t="shared" si="47"/>
        <v>10-27</v>
      </c>
      <c r="B481" t="str">
        <f t="shared" si="48"/>
        <v>AUD</v>
      </c>
      <c r="C481" s="141" t="s">
        <v>793</v>
      </c>
      <c r="D481" s="141">
        <v>1231027</v>
      </c>
      <c r="E481" s="141" t="s">
        <v>657</v>
      </c>
      <c r="F481" s="141" t="s">
        <v>819</v>
      </c>
      <c r="G481" s="141" t="s">
        <v>820</v>
      </c>
      <c r="H481" s="141" t="s">
        <v>145</v>
      </c>
      <c r="I481" s="141" t="s">
        <v>1573</v>
      </c>
      <c r="J481" s="141" t="s">
        <v>662</v>
      </c>
      <c r="K481" s="141" t="s">
        <v>1574</v>
      </c>
      <c r="L481" s="141" t="s">
        <v>245</v>
      </c>
      <c r="M481" s="141" t="s">
        <v>835</v>
      </c>
      <c r="N481" s="141" t="s">
        <v>654</v>
      </c>
      <c r="O481" s="141" t="s">
        <v>714</v>
      </c>
      <c r="Q481"/>
    </row>
    <row r="482" spans="1:17">
      <c r="A482" t="str">
        <f t="shared" si="47"/>
        <v>10-27</v>
      </c>
      <c r="B482" t="str">
        <f t="shared" si="48"/>
        <v>AUD</v>
      </c>
      <c r="C482" s="141" t="s">
        <v>793</v>
      </c>
      <c r="D482" s="141">
        <v>1231027</v>
      </c>
      <c r="E482" s="141" t="s">
        <v>657</v>
      </c>
      <c r="F482" s="141" t="s">
        <v>819</v>
      </c>
      <c r="G482" s="141" t="s">
        <v>820</v>
      </c>
      <c r="H482" s="141" t="s">
        <v>145</v>
      </c>
      <c r="I482" s="141" t="s">
        <v>1575</v>
      </c>
      <c r="J482" s="141" t="s">
        <v>662</v>
      </c>
      <c r="K482" s="141" t="s">
        <v>1576</v>
      </c>
      <c r="L482" s="141" t="s">
        <v>245</v>
      </c>
      <c r="M482" s="141" t="s">
        <v>835</v>
      </c>
      <c r="N482" s="141" t="s">
        <v>654</v>
      </c>
      <c r="O482" s="141" t="s">
        <v>714</v>
      </c>
      <c r="Q482"/>
    </row>
    <row r="483" spans="1:17">
      <c r="A483" t="str">
        <f t="shared" si="47"/>
        <v>10-27</v>
      </c>
      <c r="B483" t="str">
        <f t="shared" si="48"/>
        <v>AUD</v>
      </c>
      <c r="C483" s="141" t="s">
        <v>793</v>
      </c>
      <c r="D483" s="141">
        <v>1231027</v>
      </c>
      <c r="E483" s="141" t="s">
        <v>657</v>
      </c>
      <c r="F483" s="141" t="s">
        <v>819</v>
      </c>
      <c r="G483" s="141" t="s">
        <v>820</v>
      </c>
      <c r="H483" s="141" t="s">
        <v>145</v>
      </c>
      <c r="I483" s="141" t="s">
        <v>1577</v>
      </c>
      <c r="J483" s="141" t="s">
        <v>662</v>
      </c>
      <c r="K483" s="141" t="s">
        <v>1578</v>
      </c>
      <c r="L483" s="141" t="s">
        <v>245</v>
      </c>
      <c r="M483" s="141" t="s">
        <v>835</v>
      </c>
      <c r="N483" s="141" t="s">
        <v>654</v>
      </c>
      <c r="O483" s="141" t="s">
        <v>714</v>
      </c>
      <c r="Q483"/>
    </row>
    <row r="484" spans="1:17">
      <c r="A484" t="str">
        <f t="shared" si="47"/>
        <v>10-27</v>
      </c>
      <c r="B484" t="str">
        <f t="shared" si="48"/>
        <v>AUD</v>
      </c>
      <c r="C484" s="141" t="s">
        <v>793</v>
      </c>
      <c r="D484" s="141">
        <v>1231027</v>
      </c>
      <c r="E484" s="141" t="s">
        <v>657</v>
      </c>
      <c r="F484" s="141" t="s">
        <v>819</v>
      </c>
      <c r="G484" s="141" t="s">
        <v>820</v>
      </c>
      <c r="H484" s="141" t="s">
        <v>145</v>
      </c>
      <c r="I484" s="141" t="s">
        <v>1579</v>
      </c>
      <c r="J484" s="141" t="s">
        <v>662</v>
      </c>
      <c r="K484" s="141" t="s">
        <v>1580</v>
      </c>
      <c r="L484" s="141" t="s">
        <v>245</v>
      </c>
      <c r="M484" s="141" t="s">
        <v>835</v>
      </c>
      <c r="N484" s="141" t="s">
        <v>654</v>
      </c>
      <c r="O484" s="141" t="s">
        <v>714</v>
      </c>
      <c r="Q484"/>
    </row>
    <row r="485" spans="1:17">
      <c r="A485" t="str">
        <f t="shared" si="47"/>
        <v>10-27</v>
      </c>
      <c r="B485" t="str">
        <f t="shared" si="48"/>
        <v>AUD</v>
      </c>
      <c r="C485" s="141" t="s">
        <v>793</v>
      </c>
      <c r="D485" s="141">
        <v>1231027</v>
      </c>
      <c r="E485" s="141" t="s">
        <v>657</v>
      </c>
      <c r="F485" s="141" t="s">
        <v>819</v>
      </c>
      <c r="G485" s="141" t="s">
        <v>820</v>
      </c>
      <c r="H485" s="141" t="s">
        <v>145</v>
      </c>
      <c r="I485" s="141" t="s">
        <v>1581</v>
      </c>
      <c r="J485" s="141" t="s">
        <v>662</v>
      </c>
      <c r="K485" s="141" t="s">
        <v>1582</v>
      </c>
      <c r="L485" s="141" t="s">
        <v>245</v>
      </c>
      <c r="M485" s="141" t="s">
        <v>835</v>
      </c>
      <c r="N485" s="141" t="s">
        <v>654</v>
      </c>
      <c r="O485" s="141" t="s">
        <v>714</v>
      </c>
      <c r="Q485"/>
    </row>
    <row r="486" spans="1:17">
      <c r="A486" t="str">
        <f t="shared" si="47"/>
        <v>10-27</v>
      </c>
      <c r="B486" t="str">
        <f t="shared" si="48"/>
        <v>AUD</v>
      </c>
      <c r="C486" s="141" t="s">
        <v>793</v>
      </c>
      <c r="D486" s="141">
        <v>1231027</v>
      </c>
      <c r="E486" s="141" t="s">
        <v>657</v>
      </c>
      <c r="F486" s="141" t="s">
        <v>819</v>
      </c>
      <c r="G486" s="141" t="s">
        <v>820</v>
      </c>
      <c r="H486" s="141" t="s">
        <v>145</v>
      </c>
      <c r="I486" s="141" t="s">
        <v>1583</v>
      </c>
      <c r="J486" s="141" t="s">
        <v>662</v>
      </c>
      <c r="K486" s="141" t="s">
        <v>1584</v>
      </c>
      <c r="L486" s="141" t="s">
        <v>245</v>
      </c>
      <c r="M486" s="141" t="s">
        <v>835</v>
      </c>
      <c r="N486" s="141" t="s">
        <v>654</v>
      </c>
      <c r="O486" s="141" t="s">
        <v>714</v>
      </c>
      <c r="Q486"/>
    </row>
    <row r="487" spans="1:17">
      <c r="A487" t="str">
        <f t="shared" si="47"/>
        <v>10-27</v>
      </c>
      <c r="B487" t="str">
        <f t="shared" si="48"/>
        <v>AUD</v>
      </c>
      <c r="C487" s="141" t="s">
        <v>793</v>
      </c>
      <c r="D487" s="141">
        <v>1231027</v>
      </c>
      <c r="E487" s="141" t="s">
        <v>657</v>
      </c>
      <c r="F487" s="141" t="s">
        <v>819</v>
      </c>
      <c r="G487" s="141" t="s">
        <v>820</v>
      </c>
      <c r="H487" s="141" t="s">
        <v>145</v>
      </c>
      <c r="I487" s="141" t="s">
        <v>1585</v>
      </c>
      <c r="J487" s="141" t="s">
        <v>662</v>
      </c>
      <c r="K487" s="141" t="s">
        <v>1586</v>
      </c>
      <c r="L487" s="141" t="s">
        <v>245</v>
      </c>
      <c r="M487" s="141" t="s">
        <v>835</v>
      </c>
      <c r="N487" s="141" t="s">
        <v>654</v>
      </c>
      <c r="O487" s="141" t="s">
        <v>714</v>
      </c>
      <c r="Q487"/>
    </row>
    <row r="488" spans="1:17">
      <c r="A488" t="str">
        <f t="shared" si="47"/>
        <v>10-27</v>
      </c>
      <c r="B488" t="str">
        <f t="shared" si="48"/>
        <v>AUD</v>
      </c>
      <c r="C488" s="141" t="s">
        <v>793</v>
      </c>
      <c r="D488" s="141">
        <v>1231027</v>
      </c>
      <c r="E488" s="141" t="s">
        <v>657</v>
      </c>
      <c r="F488" s="141" t="s">
        <v>819</v>
      </c>
      <c r="G488" s="141" t="s">
        <v>820</v>
      </c>
      <c r="H488" s="141" t="s">
        <v>145</v>
      </c>
      <c r="I488" s="141" t="s">
        <v>1587</v>
      </c>
      <c r="J488" s="141" t="s">
        <v>662</v>
      </c>
      <c r="K488" s="141" t="s">
        <v>1588</v>
      </c>
      <c r="L488" s="141" t="s">
        <v>245</v>
      </c>
      <c r="M488" s="141" t="s">
        <v>835</v>
      </c>
      <c r="N488" s="141" t="s">
        <v>654</v>
      </c>
      <c r="O488" s="141" t="s">
        <v>714</v>
      </c>
      <c r="Q488"/>
    </row>
    <row r="489" spans="1:17">
      <c r="A489" t="str">
        <f t="shared" si="47"/>
        <v>10-27</v>
      </c>
      <c r="B489" t="str">
        <f t="shared" si="48"/>
        <v>AUD</v>
      </c>
      <c r="C489" s="141" t="s">
        <v>793</v>
      </c>
      <c r="D489" s="141">
        <v>1231027</v>
      </c>
      <c r="E489" s="141" t="s">
        <v>657</v>
      </c>
      <c r="F489" s="141" t="s">
        <v>819</v>
      </c>
      <c r="G489" s="141" t="s">
        <v>820</v>
      </c>
      <c r="H489" s="141" t="s">
        <v>145</v>
      </c>
      <c r="I489" s="141" t="s">
        <v>1589</v>
      </c>
      <c r="J489" s="141" t="s">
        <v>662</v>
      </c>
      <c r="K489" s="141" t="s">
        <v>1590</v>
      </c>
      <c r="L489" s="141" t="s">
        <v>245</v>
      </c>
      <c r="M489" s="141" t="s">
        <v>835</v>
      </c>
      <c r="N489" s="141" t="s">
        <v>654</v>
      </c>
      <c r="O489" s="141" t="s">
        <v>714</v>
      </c>
      <c r="Q489"/>
    </row>
    <row r="490" spans="1:17">
      <c r="A490" t="str">
        <f t="shared" si="47"/>
        <v>10-27</v>
      </c>
      <c r="B490" t="str">
        <f t="shared" si="48"/>
        <v>AUD</v>
      </c>
      <c r="C490" s="141" t="s">
        <v>793</v>
      </c>
      <c r="D490" s="141">
        <v>1231027</v>
      </c>
      <c r="E490" s="141" t="s">
        <v>657</v>
      </c>
      <c r="F490" s="141" t="s">
        <v>819</v>
      </c>
      <c r="G490" s="141" t="s">
        <v>820</v>
      </c>
      <c r="H490" s="141" t="s">
        <v>145</v>
      </c>
      <c r="I490" s="141" t="s">
        <v>1591</v>
      </c>
      <c r="J490" s="141" t="s">
        <v>662</v>
      </c>
      <c r="K490" s="141" t="s">
        <v>1592</v>
      </c>
      <c r="L490" s="141" t="s">
        <v>245</v>
      </c>
      <c r="M490" s="141" t="s">
        <v>835</v>
      </c>
      <c r="N490" s="141" t="s">
        <v>654</v>
      </c>
      <c r="O490" s="141" t="s">
        <v>714</v>
      </c>
      <c r="Q490"/>
    </row>
    <row r="491" spans="1:17">
      <c r="A491" t="str">
        <f t="shared" si="47"/>
        <v>10-27</v>
      </c>
      <c r="B491" t="str">
        <f t="shared" si="48"/>
        <v>AUD</v>
      </c>
      <c r="C491" s="141" t="s">
        <v>793</v>
      </c>
      <c r="D491" s="141">
        <v>1231027</v>
      </c>
      <c r="E491" s="141" t="s">
        <v>657</v>
      </c>
      <c r="F491" s="141" t="s">
        <v>819</v>
      </c>
      <c r="G491" s="141" t="s">
        <v>820</v>
      </c>
      <c r="H491" s="141" t="s">
        <v>145</v>
      </c>
      <c r="I491" s="141" t="s">
        <v>1593</v>
      </c>
      <c r="J491" s="141" t="s">
        <v>662</v>
      </c>
      <c r="K491" s="141" t="s">
        <v>1594</v>
      </c>
      <c r="L491" s="141" t="s">
        <v>245</v>
      </c>
      <c r="M491" s="141" t="s">
        <v>835</v>
      </c>
      <c r="N491" s="141" t="s">
        <v>654</v>
      </c>
      <c r="O491" s="141" t="s">
        <v>714</v>
      </c>
      <c r="Q491"/>
    </row>
    <row r="492" spans="1:17">
      <c r="A492" t="str">
        <f t="shared" si="47"/>
        <v>10-27</v>
      </c>
      <c r="B492" t="str">
        <f t="shared" si="48"/>
        <v>AUD</v>
      </c>
      <c r="C492" s="141" t="s">
        <v>793</v>
      </c>
      <c r="D492" s="141">
        <v>1231027</v>
      </c>
      <c r="E492" s="141" t="s">
        <v>657</v>
      </c>
      <c r="F492" s="141" t="s">
        <v>819</v>
      </c>
      <c r="G492" s="141" t="s">
        <v>820</v>
      </c>
      <c r="H492" s="141" t="s">
        <v>145</v>
      </c>
      <c r="I492" s="141" t="s">
        <v>1595</v>
      </c>
      <c r="J492" s="141" t="s">
        <v>662</v>
      </c>
      <c r="K492" s="141" t="s">
        <v>1596</v>
      </c>
      <c r="L492" s="141" t="s">
        <v>245</v>
      </c>
      <c r="M492" s="141" t="s">
        <v>835</v>
      </c>
      <c r="N492" s="141" t="s">
        <v>654</v>
      </c>
      <c r="O492" s="141" t="s">
        <v>714</v>
      </c>
      <c r="Q492"/>
    </row>
    <row r="493" spans="1:17">
      <c r="A493" t="str">
        <f t="shared" si="47"/>
        <v>10-27</v>
      </c>
      <c r="B493" t="str">
        <f t="shared" si="48"/>
        <v>AUD</v>
      </c>
      <c r="C493" s="141" t="s">
        <v>793</v>
      </c>
      <c r="D493" s="141">
        <v>1231027</v>
      </c>
      <c r="E493" s="141" t="s">
        <v>657</v>
      </c>
      <c r="F493" s="141" t="s">
        <v>819</v>
      </c>
      <c r="G493" s="141" t="s">
        <v>820</v>
      </c>
      <c r="H493" s="141" t="s">
        <v>145</v>
      </c>
      <c r="I493" s="141" t="s">
        <v>1597</v>
      </c>
      <c r="J493" s="141" t="s">
        <v>662</v>
      </c>
      <c r="K493" s="141" t="s">
        <v>1598</v>
      </c>
      <c r="L493" s="141" t="s">
        <v>245</v>
      </c>
      <c r="M493" s="141" t="s">
        <v>835</v>
      </c>
      <c r="N493" s="141" t="s">
        <v>654</v>
      </c>
      <c r="O493" s="141" t="s">
        <v>714</v>
      </c>
      <c r="Q493"/>
    </row>
    <row r="494" spans="1:17">
      <c r="A494" t="str">
        <f t="shared" si="47"/>
        <v>10-27</v>
      </c>
      <c r="B494" t="str">
        <f t="shared" si="48"/>
        <v>AUD</v>
      </c>
      <c r="C494" s="141" t="s">
        <v>793</v>
      </c>
      <c r="D494" s="141">
        <v>1231027</v>
      </c>
      <c r="E494" s="141" t="s">
        <v>657</v>
      </c>
      <c r="F494" s="141" t="s">
        <v>819</v>
      </c>
      <c r="G494" s="141" t="s">
        <v>820</v>
      </c>
      <c r="H494" s="141" t="s">
        <v>145</v>
      </c>
      <c r="I494" s="141" t="s">
        <v>1599</v>
      </c>
      <c r="J494" s="141" t="s">
        <v>662</v>
      </c>
      <c r="K494" s="141" t="s">
        <v>1600</v>
      </c>
      <c r="L494" s="141" t="s">
        <v>245</v>
      </c>
      <c r="M494" s="141" t="s">
        <v>835</v>
      </c>
      <c r="N494" s="141" t="s">
        <v>654</v>
      </c>
      <c r="O494" s="141" t="s">
        <v>714</v>
      </c>
      <c r="Q494"/>
    </row>
    <row r="495" spans="1:17">
      <c r="A495" t="str">
        <f t="shared" si="47"/>
        <v>10-27</v>
      </c>
      <c r="B495" t="str">
        <f t="shared" si="48"/>
        <v>AUD</v>
      </c>
      <c r="C495" s="141" t="s">
        <v>793</v>
      </c>
      <c r="D495" s="141">
        <v>1231027</v>
      </c>
      <c r="E495" s="141" t="s">
        <v>657</v>
      </c>
      <c r="F495" s="141" t="s">
        <v>819</v>
      </c>
      <c r="G495" s="141" t="s">
        <v>820</v>
      </c>
      <c r="H495" s="141" t="s">
        <v>145</v>
      </c>
      <c r="I495" s="141" t="s">
        <v>1601</v>
      </c>
      <c r="J495" s="141" t="s">
        <v>662</v>
      </c>
      <c r="K495" s="141" t="s">
        <v>1602</v>
      </c>
      <c r="L495" s="141" t="s">
        <v>245</v>
      </c>
      <c r="M495" s="141" t="s">
        <v>835</v>
      </c>
      <c r="N495" s="141" t="s">
        <v>654</v>
      </c>
      <c r="O495" s="141" t="s">
        <v>714</v>
      </c>
      <c r="Q495"/>
    </row>
    <row r="496" spans="1:17">
      <c r="A496" t="str">
        <f t="shared" si="47"/>
        <v>10-27</v>
      </c>
      <c r="B496" t="str">
        <f t="shared" si="48"/>
        <v>AUD</v>
      </c>
      <c r="C496" s="141" t="s">
        <v>793</v>
      </c>
      <c r="D496" s="141">
        <v>1231027</v>
      </c>
      <c r="E496" s="141" t="s">
        <v>657</v>
      </c>
      <c r="F496" s="141" t="s">
        <v>819</v>
      </c>
      <c r="G496" s="141" t="s">
        <v>820</v>
      </c>
      <c r="H496" s="141" t="s">
        <v>145</v>
      </c>
      <c r="I496" s="141" t="s">
        <v>1603</v>
      </c>
      <c r="J496" s="141" t="s">
        <v>662</v>
      </c>
      <c r="K496" s="141" t="s">
        <v>1604</v>
      </c>
      <c r="L496" s="141" t="s">
        <v>245</v>
      </c>
      <c r="M496" s="141" t="s">
        <v>835</v>
      </c>
      <c r="N496" s="141" t="s">
        <v>654</v>
      </c>
      <c r="O496" s="141" t="s">
        <v>714</v>
      </c>
      <c r="Q496"/>
    </row>
    <row r="497" spans="1:17">
      <c r="A497" t="str">
        <f t="shared" si="47"/>
        <v>10-27</v>
      </c>
      <c r="B497" t="str">
        <f t="shared" si="48"/>
        <v>AUD</v>
      </c>
      <c r="C497" s="141" t="s">
        <v>793</v>
      </c>
      <c r="D497" s="141">
        <v>1231027</v>
      </c>
      <c r="E497" s="141" t="s">
        <v>657</v>
      </c>
      <c r="F497" s="141" t="s">
        <v>819</v>
      </c>
      <c r="G497" s="141" t="s">
        <v>820</v>
      </c>
      <c r="H497" s="141" t="s">
        <v>145</v>
      </c>
      <c r="I497" s="141" t="s">
        <v>1605</v>
      </c>
      <c r="J497" s="141" t="s">
        <v>662</v>
      </c>
      <c r="K497" s="141" t="s">
        <v>1606</v>
      </c>
      <c r="L497" s="141" t="s">
        <v>245</v>
      </c>
      <c r="M497" s="141" t="s">
        <v>835</v>
      </c>
      <c r="N497" s="141" t="s">
        <v>654</v>
      </c>
      <c r="O497" s="141" t="s">
        <v>714</v>
      </c>
      <c r="Q497"/>
    </row>
    <row r="498" spans="1:17">
      <c r="A498" t="str">
        <f t="shared" si="47"/>
        <v>10-27</v>
      </c>
      <c r="B498" t="str">
        <f t="shared" si="48"/>
        <v>AUD</v>
      </c>
      <c r="C498" s="141" t="s">
        <v>793</v>
      </c>
      <c r="D498" s="141">
        <v>1231027</v>
      </c>
      <c r="E498" s="141" t="s">
        <v>657</v>
      </c>
      <c r="F498" s="141" t="s">
        <v>819</v>
      </c>
      <c r="G498" s="141" t="s">
        <v>820</v>
      </c>
      <c r="H498" s="141" t="s">
        <v>145</v>
      </c>
      <c r="I498" s="141" t="s">
        <v>1607</v>
      </c>
      <c r="J498" s="141" t="s">
        <v>662</v>
      </c>
      <c r="K498" s="141" t="s">
        <v>1608</v>
      </c>
      <c r="L498" s="141" t="s">
        <v>245</v>
      </c>
      <c r="M498" s="141" t="s">
        <v>835</v>
      </c>
      <c r="N498" s="141" t="s">
        <v>654</v>
      </c>
      <c r="O498" s="141" t="s">
        <v>714</v>
      </c>
      <c r="Q498"/>
    </row>
    <row r="499" spans="1:17">
      <c r="A499" t="str">
        <f t="shared" si="47"/>
        <v>10-27</v>
      </c>
      <c r="B499" t="str">
        <f t="shared" si="48"/>
        <v>AUD</v>
      </c>
      <c r="C499" s="141" t="s">
        <v>793</v>
      </c>
      <c r="D499" s="141">
        <v>1231027</v>
      </c>
      <c r="E499" s="141" t="s">
        <v>657</v>
      </c>
      <c r="F499" s="141" t="s">
        <v>819</v>
      </c>
      <c r="G499" s="141" t="s">
        <v>820</v>
      </c>
      <c r="H499" s="141" t="s">
        <v>145</v>
      </c>
      <c r="I499" s="141" t="s">
        <v>1609</v>
      </c>
      <c r="J499" s="141" t="s">
        <v>662</v>
      </c>
      <c r="K499" s="141" t="s">
        <v>1610</v>
      </c>
      <c r="L499" s="141" t="s">
        <v>245</v>
      </c>
      <c r="M499" s="141" t="s">
        <v>835</v>
      </c>
      <c r="N499" s="141" t="s">
        <v>654</v>
      </c>
      <c r="O499" s="141" t="s">
        <v>714</v>
      </c>
      <c r="Q499"/>
    </row>
    <row r="500" spans="1:17">
      <c r="A500" t="str">
        <f t="shared" si="47"/>
        <v>10-27</v>
      </c>
      <c r="B500" t="str">
        <f t="shared" si="48"/>
        <v>AUD</v>
      </c>
      <c r="C500" s="141" t="s">
        <v>793</v>
      </c>
      <c r="D500" s="141">
        <v>1231027</v>
      </c>
      <c r="E500" s="141" t="s">
        <v>657</v>
      </c>
      <c r="F500" s="141" t="s">
        <v>819</v>
      </c>
      <c r="G500" s="141" t="s">
        <v>820</v>
      </c>
      <c r="H500" s="141" t="s">
        <v>145</v>
      </c>
      <c r="I500" s="141" t="s">
        <v>1611</v>
      </c>
      <c r="J500" s="141" t="s">
        <v>662</v>
      </c>
      <c r="K500" s="141" t="s">
        <v>1612</v>
      </c>
      <c r="L500" s="141" t="s">
        <v>245</v>
      </c>
      <c r="M500" s="141" t="s">
        <v>835</v>
      </c>
      <c r="N500" s="141" t="s">
        <v>654</v>
      </c>
      <c r="O500" s="141" t="s">
        <v>714</v>
      </c>
      <c r="Q500"/>
    </row>
    <row r="501" spans="1:17">
      <c r="A501" t="str">
        <f t="shared" ref="A501" si="49">MID(D501,(LEN(D501)-3),2)&amp;"-"&amp;MID(D501,(LEN(D501)-1),2)</f>
        <v>10-27</v>
      </c>
      <c r="B501" t="str">
        <f t="shared" ref="B501" si="50">IF(H501="AU","AUD","USD")</f>
        <v>AUD</v>
      </c>
      <c r="C501" s="141" t="s">
        <v>793</v>
      </c>
      <c r="D501" s="141">
        <v>1231027</v>
      </c>
      <c r="E501" s="141" t="s">
        <v>657</v>
      </c>
      <c r="F501" s="141" t="s">
        <v>1136</v>
      </c>
      <c r="G501" s="141" t="s">
        <v>1137</v>
      </c>
      <c r="H501" s="141" t="s">
        <v>145</v>
      </c>
      <c r="I501" s="141" t="s">
        <v>1613</v>
      </c>
      <c r="J501" s="141" t="s">
        <v>662</v>
      </c>
      <c r="K501" s="141" t="s">
        <v>1614</v>
      </c>
      <c r="L501" s="141" t="s">
        <v>245</v>
      </c>
      <c r="M501" s="141" t="s">
        <v>835</v>
      </c>
      <c r="N501" s="141" t="s">
        <v>654</v>
      </c>
      <c r="O501" s="141" t="s">
        <v>714</v>
      </c>
      <c r="Q501"/>
    </row>
    <row r="502" spans="1:17">
      <c r="A502" t="str">
        <f t="shared" ref="A502:A557" si="51">MID(D502,(LEN(D502)-3),2)&amp;"-"&amp;MID(D502,(LEN(D502)-1),2)</f>
        <v>10-27</v>
      </c>
      <c r="B502" t="str">
        <f t="shared" ref="B502:B557" si="52">IF(H502="AU","AUD","USD")</f>
        <v>AUD</v>
      </c>
      <c r="C502" s="141" t="s">
        <v>793</v>
      </c>
      <c r="D502" s="141">
        <v>1231027</v>
      </c>
      <c r="E502" s="141" t="s">
        <v>657</v>
      </c>
      <c r="F502" s="141" t="s">
        <v>1136</v>
      </c>
      <c r="G502" s="141" t="s">
        <v>1137</v>
      </c>
      <c r="H502" s="141" t="s">
        <v>145</v>
      </c>
      <c r="I502" s="141" t="s">
        <v>1615</v>
      </c>
      <c r="J502" s="141" t="s">
        <v>662</v>
      </c>
      <c r="K502" s="141" t="s">
        <v>1616</v>
      </c>
      <c r="L502" s="141" t="s">
        <v>245</v>
      </c>
      <c r="M502" s="141" t="s">
        <v>835</v>
      </c>
      <c r="N502" s="141" t="s">
        <v>654</v>
      </c>
      <c r="O502" s="141" t="s">
        <v>714</v>
      </c>
      <c r="Q502"/>
    </row>
    <row r="503" spans="1:17">
      <c r="A503" t="str">
        <f t="shared" si="51"/>
        <v>10-27</v>
      </c>
      <c r="B503" t="str">
        <f t="shared" si="52"/>
        <v>AUD</v>
      </c>
      <c r="C503" s="141" t="s">
        <v>793</v>
      </c>
      <c r="D503" s="141">
        <v>1231027</v>
      </c>
      <c r="E503" s="141" t="s">
        <v>657</v>
      </c>
      <c r="F503" s="141" t="s">
        <v>1136</v>
      </c>
      <c r="G503" s="141" t="s">
        <v>1137</v>
      </c>
      <c r="H503" s="141" t="s">
        <v>145</v>
      </c>
      <c r="I503" s="141" t="s">
        <v>1617</v>
      </c>
      <c r="J503" s="141" t="s">
        <v>662</v>
      </c>
      <c r="K503" s="141" t="s">
        <v>1618</v>
      </c>
      <c r="L503" s="141" t="s">
        <v>245</v>
      </c>
      <c r="M503" s="141" t="s">
        <v>835</v>
      </c>
      <c r="N503" s="141" t="s">
        <v>654</v>
      </c>
      <c r="O503" s="141" t="s">
        <v>714</v>
      </c>
      <c r="Q503"/>
    </row>
    <row r="504" spans="1:17">
      <c r="A504" t="str">
        <f t="shared" si="51"/>
        <v>10-27</v>
      </c>
      <c r="B504" t="str">
        <f t="shared" si="52"/>
        <v>AUD</v>
      </c>
      <c r="C504" s="141" t="s">
        <v>793</v>
      </c>
      <c r="D504" s="141">
        <v>1231027</v>
      </c>
      <c r="E504" s="141" t="s">
        <v>657</v>
      </c>
      <c r="F504" s="141" t="s">
        <v>1136</v>
      </c>
      <c r="G504" s="141" t="s">
        <v>1137</v>
      </c>
      <c r="H504" s="141" t="s">
        <v>145</v>
      </c>
      <c r="I504" s="141" t="s">
        <v>1619</v>
      </c>
      <c r="J504" s="141" t="s">
        <v>662</v>
      </c>
      <c r="K504" s="141" t="s">
        <v>1620</v>
      </c>
      <c r="L504" s="141" t="s">
        <v>245</v>
      </c>
      <c r="M504" s="141" t="s">
        <v>835</v>
      </c>
      <c r="N504" s="141" t="s">
        <v>654</v>
      </c>
      <c r="O504" s="141" t="s">
        <v>714</v>
      </c>
      <c r="Q504"/>
    </row>
    <row r="505" spans="1:17">
      <c r="A505" t="str">
        <f t="shared" si="51"/>
        <v>10-27</v>
      </c>
      <c r="B505" t="str">
        <f t="shared" si="52"/>
        <v>AUD</v>
      </c>
      <c r="C505" s="141" t="s">
        <v>793</v>
      </c>
      <c r="D505" s="141">
        <v>1231027</v>
      </c>
      <c r="E505" s="141" t="s">
        <v>657</v>
      </c>
      <c r="F505" s="141" t="s">
        <v>1136</v>
      </c>
      <c r="G505" s="141" t="s">
        <v>1137</v>
      </c>
      <c r="H505" s="141" t="s">
        <v>145</v>
      </c>
      <c r="I505" s="141" t="s">
        <v>1621</v>
      </c>
      <c r="J505" s="141" t="s">
        <v>662</v>
      </c>
      <c r="K505" s="141" t="s">
        <v>1622</v>
      </c>
      <c r="L505" s="141" t="s">
        <v>245</v>
      </c>
      <c r="M505" s="141" t="s">
        <v>835</v>
      </c>
      <c r="N505" s="141" t="s">
        <v>654</v>
      </c>
      <c r="O505" s="141" t="s">
        <v>714</v>
      </c>
      <c r="Q505"/>
    </row>
    <row r="506" spans="1:17">
      <c r="A506" t="str">
        <f t="shared" si="51"/>
        <v>10-27</v>
      </c>
      <c r="B506" t="str">
        <f t="shared" si="52"/>
        <v>AUD</v>
      </c>
      <c r="C506" s="138" t="s">
        <v>793</v>
      </c>
      <c r="D506" s="138">
        <v>1231027</v>
      </c>
      <c r="E506" s="138" t="s">
        <v>657</v>
      </c>
      <c r="F506" s="138" t="s">
        <v>1136</v>
      </c>
      <c r="G506" s="138" t="s">
        <v>1137</v>
      </c>
      <c r="H506" s="138" t="s">
        <v>145</v>
      </c>
      <c r="I506" s="138" t="s">
        <v>1623</v>
      </c>
      <c r="J506" s="138" t="s">
        <v>662</v>
      </c>
      <c r="K506" s="138" t="s">
        <v>1624</v>
      </c>
      <c r="L506" s="138" t="s">
        <v>245</v>
      </c>
      <c r="M506" s="138" t="s">
        <v>835</v>
      </c>
      <c r="N506" s="138" t="s">
        <v>654</v>
      </c>
      <c r="O506" s="138" t="s">
        <v>714</v>
      </c>
      <c r="Q506"/>
    </row>
    <row r="507" spans="1:17">
      <c r="A507" t="str">
        <f t="shared" si="51"/>
        <v>10-27</v>
      </c>
      <c r="B507" t="str">
        <f t="shared" si="52"/>
        <v>AUD</v>
      </c>
      <c r="C507" s="138" t="s">
        <v>793</v>
      </c>
      <c r="D507" s="138">
        <v>1231027</v>
      </c>
      <c r="E507" s="138" t="s">
        <v>657</v>
      </c>
      <c r="F507" s="138" t="s">
        <v>1136</v>
      </c>
      <c r="G507" s="138" t="s">
        <v>1137</v>
      </c>
      <c r="H507" s="138" t="s">
        <v>145</v>
      </c>
      <c r="I507" s="138" t="s">
        <v>1625</v>
      </c>
      <c r="J507" s="138" t="s">
        <v>662</v>
      </c>
      <c r="K507" s="138" t="s">
        <v>1626</v>
      </c>
      <c r="L507" s="138" t="s">
        <v>245</v>
      </c>
      <c r="M507" s="138" t="s">
        <v>835</v>
      </c>
      <c r="N507" s="138" t="s">
        <v>654</v>
      </c>
      <c r="O507" s="138" t="s">
        <v>714</v>
      </c>
      <c r="Q507"/>
    </row>
    <row r="508" spans="1:17">
      <c r="A508" t="str">
        <f t="shared" si="51"/>
        <v>10-27</v>
      </c>
      <c r="B508" t="str">
        <f t="shared" si="52"/>
        <v>AUD</v>
      </c>
      <c r="C508" s="138" t="s">
        <v>793</v>
      </c>
      <c r="D508" s="138">
        <v>1231027</v>
      </c>
      <c r="E508" s="138" t="s">
        <v>657</v>
      </c>
      <c r="F508" s="138" t="s">
        <v>1136</v>
      </c>
      <c r="G508" s="138" t="s">
        <v>1137</v>
      </c>
      <c r="H508" s="138" t="s">
        <v>145</v>
      </c>
      <c r="I508" s="138" t="s">
        <v>1627</v>
      </c>
      <c r="J508" s="138" t="s">
        <v>662</v>
      </c>
      <c r="K508" s="138" t="s">
        <v>1628</v>
      </c>
      <c r="L508" s="138" t="s">
        <v>245</v>
      </c>
      <c r="M508" s="138" t="s">
        <v>835</v>
      </c>
      <c r="N508" s="138" t="s">
        <v>654</v>
      </c>
      <c r="O508" s="138" t="s">
        <v>714</v>
      </c>
      <c r="Q508"/>
    </row>
    <row r="509" spans="1:17">
      <c r="A509" t="str">
        <f t="shared" si="51"/>
        <v>10-27</v>
      </c>
      <c r="B509" t="str">
        <f t="shared" si="52"/>
        <v>AUD</v>
      </c>
      <c r="C509" s="138" t="s">
        <v>793</v>
      </c>
      <c r="D509" s="138">
        <v>1231027</v>
      </c>
      <c r="E509" s="138" t="s">
        <v>657</v>
      </c>
      <c r="F509" s="138" t="s">
        <v>1136</v>
      </c>
      <c r="G509" s="138" t="s">
        <v>1137</v>
      </c>
      <c r="H509" s="138" t="s">
        <v>145</v>
      </c>
      <c r="I509" s="138" t="s">
        <v>1629</v>
      </c>
      <c r="J509" s="138" t="s">
        <v>662</v>
      </c>
      <c r="K509" s="138" t="s">
        <v>1630</v>
      </c>
      <c r="L509" s="138" t="s">
        <v>245</v>
      </c>
      <c r="M509" s="138" t="s">
        <v>835</v>
      </c>
      <c r="N509" s="138" t="s">
        <v>654</v>
      </c>
      <c r="O509" s="138" t="s">
        <v>714</v>
      </c>
      <c r="Q509"/>
    </row>
    <row r="510" spans="1:17">
      <c r="A510" t="str">
        <f t="shared" si="51"/>
        <v>10-27</v>
      </c>
      <c r="B510" t="str">
        <f t="shared" si="52"/>
        <v>AUD</v>
      </c>
      <c r="C510" s="138" t="s">
        <v>793</v>
      </c>
      <c r="D510" s="138">
        <v>1231027</v>
      </c>
      <c r="E510" s="138" t="s">
        <v>657</v>
      </c>
      <c r="F510" s="138" t="s">
        <v>1136</v>
      </c>
      <c r="G510" s="138" t="s">
        <v>1137</v>
      </c>
      <c r="H510" s="138" t="s">
        <v>145</v>
      </c>
      <c r="I510" s="138" t="s">
        <v>1631</v>
      </c>
      <c r="J510" s="138" t="s">
        <v>662</v>
      </c>
      <c r="K510" s="138" t="s">
        <v>1632</v>
      </c>
      <c r="L510" s="138" t="s">
        <v>245</v>
      </c>
      <c r="M510" s="138" t="s">
        <v>835</v>
      </c>
      <c r="N510" s="138" t="s">
        <v>654</v>
      </c>
      <c r="O510" s="138" t="s">
        <v>714</v>
      </c>
      <c r="Q510"/>
    </row>
    <row r="511" spans="1:17">
      <c r="A511" t="str">
        <f t="shared" si="51"/>
        <v>10-27</v>
      </c>
      <c r="B511" t="str">
        <f t="shared" si="52"/>
        <v>AUD</v>
      </c>
      <c r="C511" s="138" t="s">
        <v>793</v>
      </c>
      <c r="D511" s="138">
        <v>1231027</v>
      </c>
      <c r="E511" s="138" t="s">
        <v>657</v>
      </c>
      <c r="F511" s="138" t="s">
        <v>1136</v>
      </c>
      <c r="G511" s="138" t="s">
        <v>1137</v>
      </c>
      <c r="H511" s="138" t="s">
        <v>145</v>
      </c>
      <c r="I511" s="138" t="s">
        <v>1633</v>
      </c>
      <c r="J511" s="138" t="s">
        <v>662</v>
      </c>
      <c r="K511" s="138" t="s">
        <v>1634</v>
      </c>
      <c r="L511" s="138" t="s">
        <v>245</v>
      </c>
      <c r="M511" s="138" t="s">
        <v>835</v>
      </c>
      <c r="N511" s="138" t="s">
        <v>654</v>
      </c>
      <c r="O511" s="138" t="s">
        <v>714</v>
      </c>
      <c r="Q511"/>
    </row>
    <row r="512" spans="1:17">
      <c r="A512" t="str">
        <f t="shared" si="51"/>
        <v>10-27</v>
      </c>
      <c r="B512" t="str">
        <f t="shared" si="52"/>
        <v>AUD</v>
      </c>
      <c r="C512" s="138" t="s">
        <v>793</v>
      </c>
      <c r="D512" s="138">
        <v>1231027</v>
      </c>
      <c r="E512" s="138" t="s">
        <v>657</v>
      </c>
      <c r="F512" s="138" t="s">
        <v>1136</v>
      </c>
      <c r="G512" s="138" t="s">
        <v>1137</v>
      </c>
      <c r="H512" s="138" t="s">
        <v>145</v>
      </c>
      <c r="I512" s="138" t="s">
        <v>1635</v>
      </c>
      <c r="J512" s="138" t="s">
        <v>662</v>
      </c>
      <c r="K512" s="138" t="s">
        <v>1636</v>
      </c>
      <c r="L512" s="138" t="s">
        <v>245</v>
      </c>
      <c r="M512" s="138" t="s">
        <v>835</v>
      </c>
      <c r="N512" s="138" t="s">
        <v>654</v>
      </c>
      <c r="O512" s="138" t="s">
        <v>714</v>
      </c>
      <c r="Q512"/>
    </row>
    <row r="513" spans="1:17">
      <c r="A513" t="str">
        <f t="shared" si="51"/>
        <v>10-27</v>
      </c>
      <c r="B513" t="str">
        <f t="shared" si="52"/>
        <v>AUD</v>
      </c>
      <c r="C513" s="138" t="s">
        <v>793</v>
      </c>
      <c r="D513" s="138">
        <v>1231027</v>
      </c>
      <c r="E513" s="138" t="s">
        <v>657</v>
      </c>
      <c r="F513" s="138" t="s">
        <v>1136</v>
      </c>
      <c r="G513" s="138" t="s">
        <v>1137</v>
      </c>
      <c r="H513" s="138" t="s">
        <v>145</v>
      </c>
      <c r="I513" s="138" t="s">
        <v>1637</v>
      </c>
      <c r="J513" s="138" t="s">
        <v>662</v>
      </c>
      <c r="K513" s="138" t="s">
        <v>1638</v>
      </c>
      <c r="L513" s="138" t="s">
        <v>245</v>
      </c>
      <c r="M513" s="138" t="s">
        <v>835</v>
      </c>
      <c r="N513" s="138" t="s">
        <v>654</v>
      </c>
      <c r="O513" s="138" t="s">
        <v>714</v>
      </c>
      <c r="Q513"/>
    </row>
    <row r="514" spans="1:17">
      <c r="A514" t="str">
        <f t="shared" si="51"/>
        <v>10-27</v>
      </c>
      <c r="B514" t="str">
        <f t="shared" si="52"/>
        <v>AUD</v>
      </c>
      <c r="C514" s="141" t="s">
        <v>793</v>
      </c>
      <c r="D514" s="141">
        <v>1231027</v>
      </c>
      <c r="E514" s="141" t="s">
        <v>657</v>
      </c>
      <c r="F514" s="141" t="s">
        <v>1136</v>
      </c>
      <c r="G514" s="141" t="s">
        <v>1137</v>
      </c>
      <c r="H514" s="141" t="s">
        <v>145</v>
      </c>
      <c r="I514" s="141" t="s">
        <v>1639</v>
      </c>
      <c r="J514" s="141" t="s">
        <v>662</v>
      </c>
      <c r="K514" s="141" t="s">
        <v>1640</v>
      </c>
      <c r="L514" s="141" t="s">
        <v>245</v>
      </c>
      <c r="M514" s="141" t="s">
        <v>835</v>
      </c>
      <c r="N514" s="141" t="s">
        <v>654</v>
      </c>
      <c r="O514" s="141" t="s">
        <v>714</v>
      </c>
      <c r="Q514"/>
    </row>
    <row r="515" spans="1:17">
      <c r="A515" t="str">
        <f t="shared" si="51"/>
        <v>10-27</v>
      </c>
      <c r="B515" t="str">
        <f t="shared" si="52"/>
        <v>AUD</v>
      </c>
      <c r="C515" s="141" t="s">
        <v>793</v>
      </c>
      <c r="D515" s="141">
        <v>1231027</v>
      </c>
      <c r="E515" s="141" t="s">
        <v>657</v>
      </c>
      <c r="F515" s="141" t="s">
        <v>1136</v>
      </c>
      <c r="G515" s="141" t="s">
        <v>1137</v>
      </c>
      <c r="H515" s="141" t="s">
        <v>145</v>
      </c>
      <c r="I515" s="141" t="s">
        <v>1641</v>
      </c>
      <c r="J515" s="141" t="s">
        <v>662</v>
      </c>
      <c r="K515" s="141" t="s">
        <v>1642</v>
      </c>
      <c r="L515" s="141" t="s">
        <v>245</v>
      </c>
      <c r="M515" s="141" t="s">
        <v>835</v>
      </c>
      <c r="N515" s="141" t="s">
        <v>654</v>
      </c>
      <c r="O515" s="141" t="s">
        <v>714</v>
      </c>
      <c r="Q515"/>
    </row>
    <row r="516" spans="1:17">
      <c r="A516" t="str">
        <f t="shared" si="51"/>
        <v>10-27</v>
      </c>
      <c r="B516" t="str">
        <f t="shared" si="52"/>
        <v>AUD</v>
      </c>
      <c r="C516" s="141" t="s">
        <v>793</v>
      </c>
      <c r="D516" s="141">
        <v>1231027</v>
      </c>
      <c r="E516" s="141" t="s">
        <v>657</v>
      </c>
      <c r="F516" s="141" t="s">
        <v>1136</v>
      </c>
      <c r="G516" s="141" t="s">
        <v>1137</v>
      </c>
      <c r="H516" s="141" t="s">
        <v>145</v>
      </c>
      <c r="I516" s="141" t="s">
        <v>1643</v>
      </c>
      <c r="J516" s="141" t="s">
        <v>662</v>
      </c>
      <c r="K516" s="141" t="s">
        <v>1644</v>
      </c>
      <c r="L516" s="141" t="s">
        <v>245</v>
      </c>
      <c r="M516" s="141" t="s">
        <v>835</v>
      </c>
      <c r="N516" s="141" t="s">
        <v>654</v>
      </c>
      <c r="O516" s="141" t="s">
        <v>714</v>
      </c>
      <c r="Q516"/>
    </row>
    <row r="517" spans="1:17">
      <c r="A517" t="str">
        <f t="shared" si="51"/>
        <v>10-27</v>
      </c>
      <c r="B517" t="str">
        <f t="shared" si="52"/>
        <v>AUD</v>
      </c>
      <c r="C517" s="141" t="s">
        <v>793</v>
      </c>
      <c r="D517" s="141">
        <v>1231027</v>
      </c>
      <c r="E517" s="141" t="s">
        <v>657</v>
      </c>
      <c r="F517" s="141" t="s">
        <v>1136</v>
      </c>
      <c r="G517" s="141" t="s">
        <v>1137</v>
      </c>
      <c r="H517" s="141" t="s">
        <v>145</v>
      </c>
      <c r="I517" s="141" t="s">
        <v>1645</v>
      </c>
      <c r="J517" s="141" t="s">
        <v>662</v>
      </c>
      <c r="K517" s="141" t="s">
        <v>1646</v>
      </c>
      <c r="L517" s="141" t="s">
        <v>245</v>
      </c>
      <c r="M517" s="141" t="s">
        <v>835</v>
      </c>
      <c r="N517" s="141" t="s">
        <v>654</v>
      </c>
      <c r="O517" s="141" t="s">
        <v>714</v>
      </c>
      <c r="Q517"/>
    </row>
    <row r="518" spans="1:17">
      <c r="A518" t="str">
        <f t="shared" si="51"/>
        <v>10-27</v>
      </c>
      <c r="B518" t="str">
        <f t="shared" si="52"/>
        <v>AUD</v>
      </c>
      <c r="C518" s="141" t="s">
        <v>793</v>
      </c>
      <c r="D518" s="141">
        <v>1231027</v>
      </c>
      <c r="E518" s="141" t="s">
        <v>657</v>
      </c>
      <c r="F518" s="141" t="s">
        <v>1136</v>
      </c>
      <c r="G518" s="141" t="s">
        <v>1137</v>
      </c>
      <c r="H518" s="141" t="s">
        <v>145</v>
      </c>
      <c r="I518" s="141" t="s">
        <v>1647</v>
      </c>
      <c r="J518" s="141" t="s">
        <v>662</v>
      </c>
      <c r="K518" s="141" t="s">
        <v>1648</v>
      </c>
      <c r="L518" s="141" t="s">
        <v>245</v>
      </c>
      <c r="M518" s="141" t="s">
        <v>835</v>
      </c>
      <c r="N518" s="141" t="s">
        <v>654</v>
      </c>
      <c r="O518" s="141" t="s">
        <v>714</v>
      </c>
      <c r="Q518"/>
    </row>
    <row r="519" spans="1:17">
      <c r="A519" t="str">
        <f t="shared" si="51"/>
        <v>10-27</v>
      </c>
      <c r="B519" t="str">
        <f t="shared" si="52"/>
        <v>AUD</v>
      </c>
      <c r="C519" s="141" t="s">
        <v>793</v>
      </c>
      <c r="D519" s="141">
        <v>1231027</v>
      </c>
      <c r="E519" s="141" t="s">
        <v>657</v>
      </c>
      <c r="F519" s="141" t="s">
        <v>1136</v>
      </c>
      <c r="G519" s="141" t="s">
        <v>1137</v>
      </c>
      <c r="H519" s="141" t="s">
        <v>145</v>
      </c>
      <c r="I519" s="141" t="s">
        <v>1649</v>
      </c>
      <c r="J519" s="141" t="s">
        <v>662</v>
      </c>
      <c r="K519" s="141" t="s">
        <v>1650</v>
      </c>
      <c r="L519" s="141" t="s">
        <v>245</v>
      </c>
      <c r="M519" s="141" t="s">
        <v>835</v>
      </c>
      <c r="N519" s="141" t="s">
        <v>654</v>
      </c>
      <c r="O519" s="141" t="s">
        <v>714</v>
      </c>
      <c r="Q519"/>
    </row>
    <row r="520" spans="1:17">
      <c r="A520" t="str">
        <f t="shared" si="51"/>
        <v>10-27</v>
      </c>
      <c r="B520" t="str">
        <f t="shared" si="52"/>
        <v>AUD</v>
      </c>
      <c r="C520" s="141" t="s">
        <v>793</v>
      </c>
      <c r="D520" s="141">
        <v>1231027</v>
      </c>
      <c r="E520" s="141" t="s">
        <v>657</v>
      </c>
      <c r="F520" s="141" t="s">
        <v>1136</v>
      </c>
      <c r="G520" s="141" t="s">
        <v>1137</v>
      </c>
      <c r="H520" s="141" t="s">
        <v>145</v>
      </c>
      <c r="I520" s="141" t="s">
        <v>1651</v>
      </c>
      <c r="J520" s="141" t="s">
        <v>662</v>
      </c>
      <c r="K520" s="141" t="s">
        <v>1652</v>
      </c>
      <c r="L520" s="141" t="s">
        <v>245</v>
      </c>
      <c r="M520" s="141" t="s">
        <v>835</v>
      </c>
      <c r="N520" s="141" t="s">
        <v>654</v>
      </c>
      <c r="O520" s="141" t="s">
        <v>714</v>
      </c>
      <c r="Q520"/>
    </row>
    <row r="521" spans="1:17">
      <c r="A521" t="str">
        <f t="shared" si="51"/>
        <v>10-27</v>
      </c>
      <c r="B521" t="str">
        <f t="shared" si="52"/>
        <v>USD</v>
      </c>
      <c r="C521" s="141" t="s">
        <v>793</v>
      </c>
      <c r="D521" s="141">
        <v>1231027</v>
      </c>
      <c r="E521" s="141" t="s">
        <v>657</v>
      </c>
      <c r="F521" s="141" t="s">
        <v>1653</v>
      </c>
      <c r="G521" s="141" t="s">
        <v>1654</v>
      </c>
      <c r="H521" s="141" t="s">
        <v>1655</v>
      </c>
      <c r="I521" s="141" t="s">
        <v>1656</v>
      </c>
      <c r="J521" s="141" t="s">
        <v>662</v>
      </c>
      <c r="K521" s="141" t="s">
        <v>1657</v>
      </c>
      <c r="L521" s="141" t="s">
        <v>641</v>
      </c>
      <c r="M521" s="141" t="s">
        <v>1658</v>
      </c>
      <c r="N521" s="141" t="s">
        <v>654</v>
      </c>
      <c r="O521" s="141" t="s">
        <v>1039</v>
      </c>
      <c r="Q521"/>
    </row>
    <row r="522" spans="1:17">
      <c r="A522" t="str">
        <f t="shared" si="51"/>
        <v>10-27</v>
      </c>
      <c r="B522" t="str">
        <f t="shared" si="52"/>
        <v>USD</v>
      </c>
      <c r="C522" s="141" t="s">
        <v>793</v>
      </c>
      <c r="D522" s="141">
        <v>1231027</v>
      </c>
      <c r="E522" s="141" t="s">
        <v>657</v>
      </c>
      <c r="F522" s="141" t="s">
        <v>1653</v>
      </c>
      <c r="G522" s="141" t="s">
        <v>1654</v>
      </c>
      <c r="H522" s="141" t="s">
        <v>1655</v>
      </c>
      <c r="I522" s="141" t="s">
        <v>1659</v>
      </c>
      <c r="J522" s="141" t="s">
        <v>662</v>
      </c>
      <c r="K522" s="141" t="s">
        <v>1660</v>
      </c>
      <c r="L522" s="141" t="s">
        <v>641</v>
      </c>
      <c r="M522" s="141" t="s">
        <v>1658</v>
      </c>
      <c r="N522" s="141" t="s">
        <v>654</v>
      </c>
      <c r="O522" s="141" t="s">
        <v>1039</v>
      </c>
      <c r="Q522"/>
    </row>
    <row r="523" spans="1:17">
      <c r="A523" t="str">
        <f t="shared" si="51"/>
        <v>10-29</v>
      </c>
      <c r="B523" t="str">
        <f t="shared" si="52"/>
        <v>USD</v>
      </c>
      <c r="C523" s="138" t="s">
        <v>793</v>
      </c>
      <c r="D523" s="138">
        <v>1231029</v>
      </c>
      <c r="E523" s="138" t="s">
        <v>707</v>
      </c>
      <c r="F523" s="138" t="s">
        <v>1161</v>
      </c>
      <c r="G523" s="138" t="s">
        <v>1162</v>
      </c>
      <c r="H523" s="138" t="s">
        <v>1100</v>
      </c>
      <c r="I523" s="138" t="s">
        <v>1690</v>
      </c>
      <c r="J523" s="138" t="s">
        <v>662</v>
      </c>
      <c r="K523" s="138" t="s">
        <v>1691</v>
      </c>
      <c r="L523" s="138" t="s">
        <v>59</v>
      </c>
      <c r="M523" s="138" t="s">
        <v>1692</v>
      </c>
      <c r="N523" s="138" t="s">
        <v>654</v>
      </c>
      <c r="O523" s="138" t="s">
        <v>665</v>
      </c>
      <c r="Q523"/>
    </row>
    <row r="524" spans="1:17">
      <c r="A524" t="str">
        <f t="shared" si="51"/>
        <v>10-29</v>
      </c>
      <c r="B524" t="str">
        <f t="shared" si="52"/>
        <v>USD</v>
      </c>
      <c r="C524" s="138" t="s">
        <v>793</v>
      </c>
      <c r="D524" s="138">
        <v>1231029</v>
      </c>
      <c r="E524" s="138" t="s">
        <v>707</v>
      </c>
      <c r="F524" s="138" t="s">
        <v>1161</v>
      </c>
      <c r="G524" s="138" t="s">
        <v>1162</v>
      </c>
      <c r="H524" s="138" t="s">
        <v>1100</v>
      </c>
      <c r="I524" s="138" t="s">
        <v>1693</v>
      </c>
      <c r="J524" s="138" t="s">
        <v>662</v>
      </c>
      <c r="K524" s="138" t="s">
        <v>1694</v>
      </c>
      <c r="L524" s="138" t="s">
        <v>59</v>
      </c>
      <c r="M524" s="138" t="s">
        <v>1695</v>
      </c>
      <c r="N524" s="138" t="s">
        <v>654</v>
      </c>
      <c r="O524" s="138" t="s">
        <v>665</v>
      </c>
      <c r="Q524"/>
    </row>
    <row r="525" spans="1:17">
      <c r="A525" t="str">
        <f t="shared" si="51"/>
        <v>10-29</v>
      </c>
      <c r="B525" t="str">
        <f t="shared" si="52"/>
        <v>USD</v>
      </c>
      <c r="C525" s="138" t="s">
        <v>793</v>
      </c>
      <c r="D525" s="138">
        <v>1231029</v>
      </c>
      <c r="E525" s="138" t="s">
        <v>707</v>
      </c>
      <c r="F525" s="138" t="s">
        <v>1161</v>
      </c>
      <c r="G525" s="138" t="s">
        <v>1162</v>
      </c>
      <c r="H525" s="138" t="s">
        <v>1100</v>
      </c>
      <c r="I525" s="138" t="s">
        <v>1696</v>
      </c>
      <c r="J525" s="138" t="s">
        <v>662</v>
      </c>
      <c r="K525" s="138" t="s">
        <v>1697</v>
      </c>
      <c r="L525" s="138" t="s">
        <v>62</v>
      </c>
      <c r="M525" s="138" t="s">
        <v>1348</v>
      </c>
      <c r="N525" s="138" t="s">
        <v>654</v>
      </c>
      <c r="O525" s="138" t="s">
        <v>799</v>
      </c>
      <c r="Q525"/>
    </row>
    <row r="526" spans="1:17">
      <c r="A526" t="str">
        <f t="shared" si="51"/>
        <v>10-29</v>
      </c>
      <c r="B526" t="str">
        <f t="shared" si="52"/>
        <v>USD</v>
      </c>
      <c r="C526" s="138" t="s">
        <v>793</v>
      </c>
      <c r="D526" s="138">
        <v>1231029</v>
      </c>
      <c r="E526" s="138" t="s">
        <v>707</v>
      </c>
      <c r="F526" s="138" t="s">
        <v>1161</v>
      </c>
      <c r="G526" s="138" t="s">
        <v>1162</v>
      </c>
      <c r="H526" s="138" t="s">
        <v>1100</v>
      </c>
      <c r="I526" s="138" t="s">
        <v>1698</v>
      </c>
      <c r="J526" s="138" t="s">
        <v>662</v>
      </c>
      <c r="K526" s="138" t="s">
        <v>1699</v>
      </c>
      <c r="L526" s="138" t="s">
        <v>62</v>
      </c>
      <c r="M526" s="138" t="s">
        <v>1097</v>
      </c>
      <c r="N526" s="138" t="s">
        <v>654</v>
      </c>
      <c r="O526" s="138" t="s">
        <v>799</v>
      </c>
      <c r="Q526"/>
    </row>
    <row r="527" spans="1:17">
      <c r="A527" t="str">
        <f t="shared" si="51"/>
        <v>10-29</v>
      </c>
      <c r="B527" t="str">
        <f t="shared" si="52"/>
        <v>USD</v>
      </c>
      <c r="C527" s="138" t="s">
        <v>793</v>
      </c>
      <c r="D527" s="138">
        <v>1231029</v>
      </c>
      <c r="E527" s="138" t="s">
        <v>707</v>
      </c>
      <c r="F527" s="138" t="s">
        <v>1161</v>
      </c>
      <c r="G527" s="138" t="s">
        <v>1162</v>
      </c>
      <c r="H527" s="138" t="s">
        <v>1100</v>
      </c>
      <c r="I527" s="138" t="s">
        <v>1700</v>
      </c>
      <c r="J527" s="138" t="s">
        <v>662</v>
      </c>
      <c r="K527" s="138" t="s">
        <v>1701</v>
      </c>
      <c r="L527" s="138" t="s">
        <v>62</v>
      </c>
      <c r="M527" s="138" t="s">
        <v>1097</v>
      </c>
      <c r="N527" s="138" t="s">
        <v>654</v>
      </c>
      <c r="O527" s="138" t="s">
        <v>799</v>
      </c>
      <c r="Q527"/>
    </row>
    <row r="528" spans="1:17">
      <c r="A528" t="str">
        <f t="shared" si="51"/>
        <v>10-29</v>
      </c>
      <c r="B528" t="str">
        <f t="shared" si="52"/>
        <v>USD</v>
      </c>
      <c r="C528" s="135" t="s">
        <v>793</v>
      </c>
      <c r="D528" s="135">
        <v>1231029</v>
      </c>
      <c r="E528" s="135" t="s">
        <v>657</v>
      </c>
      <c r="F528" s="135" t="s">
        <v>1098</v>
      </c>
      <c r="G528" s="135" t="s">
        <v>1099</v>
      </c>
      <c r="H528" s="135" t="s">
        <v>1100</v>
      </c>
      <c r="I528" s="135" t="s">
        <v>1687</v>
      </c>
      <c r="J528" s="135" t="s">
        <v>662</v>
      </c>
      <c r="K528" s="135" t="s">
        <v>1688</v>
      </c>
      <c r="L528" s="135" t="s">
        <v>88</v>
      </c>
      <c r="M528" s="135" t="s">
        <v>1689</v>
      </c>
      <c r="N528" s="135" t="s">
        <v>654</v>
      </c>
      <c r="O528" s="135" t="s">
        <v>799</v>
      </c>
      <c r="Q528"/>
    </row>
    <row r="529" spans="1:17">
      <c r="A529" t="str">
        <f t="shared" si="51"/>
        <v>10-29</v>
      </c>
      <c r="B529" t="str">
        <f t="shared" si="52"/>
        <v>USD</v>
      </c>
      <c r="C529" s="135" t="s">
        <v>793</v>
      </c>
      <c r="D529" s="135">
        <v>1231029</v>
      </c>
      <c r="E529" s="135" t="s">
        <v>657</v>
      </c>
      <c r="F529" s="135" t="s">
        <v>1098</v>
      </c>
      <c r="G529" s="135" t="s">
        <v>1099</v>
      </c>
      <c r="H529" s="135" t="s">
        <v>1100</v>
      </c>
      <c r="I529" s="135" t="s">
        <v>1703</v>
      </c>
      <c r="J529" s="135" t="s">
        <v>662</v>
      </c>
      <c r="K529" s="135" t="s">
        <v>1704</v>
      </c>
      <c r="L529" s="135" t="s">
        <v>1705</v>
      </c>
      <c r="M529" s="135" t="s">
        <v>1706</v>
      </c>
      <c r="N529" s="135" t="s">
        <v>654</v>
      </c>
      <c r="O529" s="135" t="s">
        <v>1039</v>
      </c>
      <c r="Q529"/>
    </row>
    <row r="530" spans="1:17">
      <c r="A530" t="str">
        <f t="shared" si="51"/>
        <v>10-29</v>
      </c>
      <c r="B530" t="str">
        <f t="shared" si="52"/>
        <v>USD</v>
      </c>
      <c r="C530" s="135" t="s">
        <v>793</v>
      </c>
      <c r="D530" s="135">
        <v>1231029</v>
      </c>
      <c r="E530" s="135" t="s">
        <v>657</v>
      </c>
      <c r="F530" s="135" t="s">
        <v>1098</v>
      </c>
      <c r="G530" s="135" t="s">
        <v>1099</v>
      </c>
      <c r="H530" s="135" t="s">
        <v>1100</v>
      </c>
      <c r="I530" s="135" t="s">
        <v>1707</v>
      </c>
      <c r="J530" s="135" t="s">
        <v>662</v>
      </c>
      <c r="K530" s="135" t="s">
        <v>1704</v>
      </c>
      <c r="L530" s="135" t="s">
        <v>1705</v>
      </c>
      <c r="M530" s="135" t="s">
        <v>1706</v>
      </c>
      <c r="N530" s="135" t="s">
        <v>654</v>
      </c>
      <c r="O530" s="135" t="s">
        <v>1039</v>
      </c>
      <c r="Q530"/>
    </row>
    <row r="531" spans="1:17">
      <c r="A531" t="str">
        <f t="shared" si="51"/>
        <v>10-29</v>
      </c>
      <c r="B531" t="str">
        <f t="shared" si="52"/>
        <v>USD</v>
      </c>
      <c r="C531" s="135" t="s">
        <v>793</v>
      </c>
      <c r="D531" s="135">
        <v>1231029</v>
      </c>
      <c r="E531" s="135" t="s">
        <v>657</v>
      </c>
      <c r="F531" s="135" t="s">
        <v>1098</v>
      </c>
      <c r="G531" s="135" t="s">
        <v>1099</v>
      </c>
      <c r="H531" s="135" t="s">
        <v>1100</v>
      </c>
      <c r="I531" s="135" t="s">
        <v>1708</v>
      </c>
      <c r="J531" s="135" t="s">
        <v>662</v>
      </c>
      <c r="K531" s="135" t="s">
        <v>1709</v>
      </c>
      <c r="L531" s="135" t="s">
        <v>51</v>
      </c>
      <c r="M531" s="135" t="s">
        <v>1106</v>
      </c>
      <c r="N531" s="135" t="s">
        <v>654</v>
      </c>
      <c r="O531" s="135" t="s">
        <v>799</v>
      </c>
      <c r="Q531"/>
    </row>
    <row r="532" spans="1:17">
      <c r="A532" t="str">
        <f t="shared" si="51"/>
        <v>10-29</v>
      </c>
      <c r="B532" t="str">
        <f t="shared" si="52"/>
        <v>USD</v>
      </c>
      <c r="C532" s="135" t="s">
        <v>793</v>
      </c>
      <c r="D532" s="135">
        <v>1231029</v>
      </c>
      <c r="E532" s="135" t="s">
        <v>657</v>
      </c>
      <c r="F532" s="135" t="s">
        <v>1098</v>
      </c>
      <c r="G532" s="135" t="s">
        <v>1099</v>
      </c>
      <c r="H532" s="135" t="s">
        <v>1100</v>
      </c>
      <c r="I532" s="135" t="s">
        <v>1710</v>
      </c>
      <c r="J532" s="135" t="s">
        <v>662</v>
      </c>
      <c r="K532" s="135" t="s">
        <v>1709</v>
      </c>
      <c r="L532" s="135" t="s">
        <v>51</v>
      </c>
      <c r="M532" s="135" t="s">
        <v>1106</v>
      </c>
      <c r="N532" s="135" t="s">
        <v>654</v>
      </c>
      <c r="O532" s="135" t="s">
        <v>799</v>
      </c>
      <c r="Q532"/>
    </row>
    <row r="533" spans="1:17">
      <c r="A533" t="str">
        <f t="shared" si="51"/>
        <v>10-30</v>
      </c>
      <c r="B533" t="str">
        <f t="shared" si="52"/>
        <v>AUD</v>
      </c>
      <c r="C533" s="141" t="s">
        <v>793</v>
      </c>
      <c r="D533" s="141">
        <v>1231030</v>
      </c>
      <c r="E533" s="141" t="s">
        <v>657</v>
      </c>
      <c r="F533" s="141" t="s">
        <v>794</v>
      </c>
      <c r="G533" s="141" t="s">
        <v>795</v>
      </c>
      <c r="H533" s="141" t="s">
        <v>145</v>
      </c>
      <c r="I533" s="141" t="s">
        <v>1777</v>
      </c>
      <c r="J533" s="141" t="s">
        <v>662</v>
      </c>
      <c r="K533" s="141" t="s">
        <v>1778</v>
      </c>
      <c r="L533" s="141" t="s">
        <v>88</v>
      </c>
      <c r="M533" s="141" t="s">
        <v>1779</v>
      </c>
      <c r="N533" s="141" t="s">
        <v>654</v>
      </c>
      <c r="O533" s="141" t="s">
        <v>799</v>
      </c>
      <c r="Q533"/>
    </row>
    <row r="534" spans="1:17">
      <c r="A534" t="str">
        <f t="shared" si="51"/>
        <v>10-30</v>
      </c>
      <c r="B534" t="str">
        <f t="shared" si="52"/>
        <v>AUD</v>
      </c>
      <c r="C534" s="135" t="s">
        <v>793</v>
      </c>
      <c r="D534" s="135">
        <v>1231030</v>
      </c>
      <c r="E534" s="135" t="s">
        <v>657</v>
      </c>
      <c r="F534" s="135" t="s">
        <v>794</v>
      </c>
      <c r="G534" s="135" t="s">
        <v>795</v>
      </c>
      <c r="H534" s="135" t="s">
        <v>145</v>
      </c>
      <c r="I534" s="135" t="s">
        <v>1780</v>
      </c>
      <c r="J534" s="135" t="s">
        <v>662</v>
      </c>
      <c r="K534" s="135" t="s">
        <v>1781</v>
      </c>
      <c r="L534" s="135" t="s">
        <v>88</v>
      </c>
      <c r="M534" s="135" t="s">
        <v>1779</v>
      </c>
      <c r="N534" s="135" t="s">
        <v>654</v>
      </c>
      <c r="O534" s="135" t="s">
        <v>799</v>
      </c>
      <c r="Q534"/>
    </row>
    <row r="535" spans="1:17">
      <c r="A535" t="str">
        <f t="shared" si="51"/>
        <v>10-30</v>
      </c>
      <c r="B535" t="str">
        <f t="shared" si="52"/>
        <v>AUD</v>
      </c>
      <c r="C535" s="135" t="s">
        <v>793</v>
      </c>
      <c r="D535" s="135">
        <v>1231030</v>
      </c>
      <c r="E535" s="135" t="s">
        <v>657</v>
      </c>
      <c r="F535" s="135" t="s">
        <v>794</v>
      </c>
      <c r="G535" s="135" t="s">
        <v>795</v>
      </c>
      <c r="H535" s="135" t="s">
        <v>145</v>
      </c>
      <c r="I535" s="135" t="s">
        <v>1782</v>
      </c>
      <c r="J535" s="135" t="s">
        <v>662</v>
      </c>
      <c r="K535" s="135" t="s">
        <v>1783</v>
      </c>
      <c r="L535" s="135" t="s">
        <v>88</v>
      </c>
      <c r="M535" s="135" t="s">
        <v>1779</v>
      </c>
      <c r="N535" s="135" t="s">
        <v>654</v>
      </c>
      <c r="O535" s="135" t="s">
        <v>799</v>
      </c>
      <c r="Q535"/>
    </row>
    <row r="536" spans="1:17">
      <c r="A536" t="str">
        <f t="shared" si="51"/>
        <v>10-30</v>
      </c>
      <c r="B536" t="str">
        <f t="shared" si="52"/>
        <v>AUD</v>
      </c>
      <c r="C536" s="135" t="s">
        <v>793</v>
      </c>
      <c r="D536" s="135">
        <v>1231030</v>
      </c>
      <c r="E536" s="135" t="s">
        <v>657</v>
      </c>
      <c r="F536" s="135" t="s">
        <v>794</v>
      </c>
      <c r="G536" s="135" t="s">
        <v>795</v>
      </c>
      <c r="H536" s="135" t="s">
        <v>145</v>
      </c>
      <c r="I536" s="135" t="s">
        <v>1784</v>
      </c>
      <c r="J536" s="135" t="s">
        <v>662</v>
      </c>
      <c r="K536" s="135" t="s">
        <v>1785</v>
      </c>
      <c r="L536" s="135" t="s">
        <v>88</v>
      </c>
      <c r="M536" s="135" t="s">
        <v>1779</v>
      </c>
      <c r="N536" s="135" t="s">
        <v>654</v>
      </c>
      <c r="O536" s="135" t="s">
        <v>799</v>
      </c>
      <c r="Q536"/>
    </row>
    <row r="537" spans="1:17">
      <c r="A537" t="str">
        <f t="shared" si="51"/>
        <v>10-30</v>
      </c>
      <c r="B537" t="str">
        <f t="shared" si="52"/>
        <v>AUD</v>
      </c>
      <c r="C537" s="141" t="s">
        <v>793</v>
      </c>
      <c r="D537" s="141">
        <v>1231030</v>
      </c>
      <c r="E537" s="141" t="s">
        <v>657</v>
      </c>
      <c r="F537" s="141" t="s">
        <v>1136</v>
      </c>
      <c r="G537" s="141" t="s">
        <v>1137</v>
      </c>
      <c r="H537" s="141" t="s">
        <v>145</v>
      </c>
      <c r="I537" s="141" t="s">
        <v>1774</v>
      </c>
      <c r="J537" s="141" t="s">
        <v>662</v>
      </c>
      <c r="K537" s="141" t="s">
        <v>1775</v>
      </c>
      <c r="L537" s="141" t="s">
        <v>120</v>
      </c>
      <c r="M537" s="141" t="s">
        <v>1776</v>
      </c>
      <c r="N537" s="141" t="s">
        <v>654</v>
      </c>
      <c r="O537" s="141" t="s">
        <v>799</v>
      </c>
      <c r="Q537"/>
    </row>
    <row r="538" spans="1:17">
      <c r="A538" t="str">
        <f t="shared" si="51"/>
        <v>10-30</v>
      </c>
      <c r="B538" t="str">
        <f t="shared" si="52"/>
        <v>AUD</v>
      </c>
      <c r="C538" s="135" t="s">
        <v>793</v>
      </c>
      <c r="D538" s="135">
        <v>1231030</v>
      </c>
      <c r="E538" s="135" t="s">
        <v>657</v>
      </c>
      <c r="F538" s="135" t="s">
        <v>1136</v>
      </c>
      <c r="G538" s="135" t="s">
        <v>1137</v>
      </c>
      <c r="H538" s="135" t="s">
        <v>145</v>
      </c>
      <c r="I538" s="135" t="s">
        <v>1786</v>
      </c>
      <c r="J538" s="135" t="s">
        <v>662</v>
      </c>
      <c r="K538" s="135" t="s">
        <v>1787</v>
      </c>
      <c r="L538" s="135" t="s">
        <v>51</v>
      </c>
      <c r="M538" s="135" t="s">
        <v>967</v>
      </c>
      <c r="N538" s="135" t="s">
        <v>654</v>
      </c>
      <c r="O538" s="135" t="s">
        <v>799</v>
      </c>
      <c r="Q538"/>
    </row>
    <row r="539" spans="1:17">
      <c r="A539" t="str">
        <f t="shared" si="51"/>
        <v>10-30</v>
      </c>
      <c r="B539" t="str">
        <f t="shared" si="52"/>
        <v>AUD</v>
      </c>
      <c r="C539" s="135" t="s">
        <v>793</v>
      </c>
      <c r="D539" s="135">
        <v>1231030</v>
      </c>
      <c r="E539" s="135" t="s">
        <v>657</v>
      </c>
      <c r="F539" s="135" t="s">
        <v>1136</v>
      </c>
      <c r="G539" s="135" t="s">
        <v>1137</v>
      </c>
      <c r="H539" s="135" t="s">
        <v>145</v>
      </c>
      <c r="I539" s="135" t="s">
        <v>1788</v>
      </c>
      <c r="J539" s="135" t="s">
        <v>662</v>
      </c>
      <c r="K539" s="135" t="s">
        <v>1789</v>
      </c>
      <c r="L539" s="135" t="s">
        <v>51</v>
      </c>
      <c r="M539" s="135" t="s">
        <v>967</v>
      </c>
      <c r="N539" s="135" t="s">
        <v>654</v>
      </c>
      <c r="O539" s="135" t="s">
        <v>799</v>
      </c>
      <c r="Q539"/>
    </row>
    <row r="540" spans="1:17">
      <c r="A540" t="str">
        <f t="shared" si="51"/>
        <v>10-30</v>
      </c>
      <c r="B540" t="str">
        <f t="shared" si="52"/>
        <v>AUD</v>
      </c>
      <c r="C540" s="135" t="s">
        <v>793</v>
      </c>
      <c r="D540" s="135">
        <v>1231030</v>
      </c>
      <c r="E540" s="135" t="s">
        <v>657</v>
      </c>
      <c r="F540" s="135" t="s">
        <v>1136</v>
      </c>
      <c r="G540" s="135" t="s">
        <v>1137</v>
      </c>
      <c r="H540" s="135" t="s">
        <v>145</v>
      </c>
      <c r="I540" s="135" t="s">
        <v>1790</v>
      </c>
      <c r="J540" s="135" t="s">
        <v>662</v>
      </c>
      <c r="K540" s="135" t="s">
        <v>1791</v>
      </c>
      <c r="L540" s="135" t="s">
        <v>51</v>
      </c>
      <c r="M540" s="135" t="s">
        <v>967</v>
      </c>
      <c r="N540" s="135" t="s">
        <v>654</v>
      </c>
      <c r="O540" s="135" t="s">
        <v>799</v>
      </c>
      <c r="Q540"/>
    </row>
    <row r="541" spans="1:17">
      <c r="A541" t="str">
        <f t="shared" si="51"/>
        <v>10-30</v>
      </c>
      <c r="B541" t="str">
        <f t="shared" si="52"/>
        <v>AUD</v>
      </c>
      <c r="C541" s="135" t="s">
        <v>793</v>
      </c>
      <c r="D541" s="135">
        <v>1231030</v>
      </c>
      <c r="E541" s="135" t="s">
        <v>657</v>
      </c>
      <c r="F541" s="135" t="s">
        <v>1136</v>
      </c>
      <c r="G541" s="135" t="s">
        <v>1137</v>
      </c>
      <c r="H541" s="135" t="s">
        <v>145</v>
      </c>
      <c r="I541" s="135" t="s">
        <v>1792</v>
      </c>
      <c r="J541" s="135" t="s">
        <v>662</v>
      </c>
      <c r="K541" s="135" t="s">
        <v>1793</v>
      </c>
      <c r="L541" s="135" t="s">
        <v>51</v>
      </c>
      <c r="M541" s="135" t="s">
        <v>967</v>
      </c>
      <c r="N541" s="135" t="s">
        <v>654</v>
      </c>
      <c r="O541" s="135" t="s">
        <v>799</v>
      </c>
      <c r="Q541"/>
    </row>
    <row r="542" spans="1:17">
      <c r="A542" t="str">
        <f t="shared" si="51"/>
        <v>10-30</v>
      </c>
      <c r="B542" t="str">
        <f t="shared" si="52"/>
        <v>AUD</v>
      </c>
      <c r="C542" s="135" t="s">
        <v>793</v>
      </c>
      <c r="D542" s="135">
        <v>1231030</v>
      </c>
      <c r="E542" s="135" t="s">
        <v>657</v>
      </c>
      <c r="F542" s="135" t="s">
        <v>1136</v>
      </c>
      <c r="G542" s="135" t="s">
        <v>1137</v>
      </c>
      <c r="H542" s="135" t="s">
        <v>145</v>
      </c>
      <c r="I542" s="135" t="s">
        <v>1794</v>
      </c>
      <c r="J542" s="135" t="s">
        <v>662</v>
      </c>
      <c r="K542" s="135" t="s">
        <v>1795</v>
      </c>
      <c r="L542" s="135" t="s">
        <v>51</v>
      </c>
      <c r="M542" s="135" t="s">
        <v>967</v>
      </c>
      <c r="N542" s="135" t="s">
        <v>654</v>
      </c>
      <c r="O542" s="135" t="s">
        <v>799</v>
      </c>
      <c r="Q542"/>
    </row>
    <row r="543" spans="1:17">
      <c r="A543" t="str">
        <f t="shared" si="51"/>
        <v>10-30</v>
      </c>
      <c r="B543" t="str">
        <f t="shared" si="52"/>
        <v>AUD</v>
      </c>
      <c r="C543" s="135" t="s">
        <v>793</v>
      </c>
      <c r="D543" s="135">
        <v>1231030</v>
      </c>
      <c r="E543" s="135" t="s">
        <v>657</v>
      </c>
      <c r="F543" s="135" t="s">
        <v>1136</v>
      </c>
      <c r="G543" s="135" t="s">
        <v>1137</v>
      </c>
      <c r="H543" s="135" t="s">
        <v>145</v>
      </c>
      <c r="I543" s="135" t="s">
        <v>1796</v>
      </c>
      <c r="J543" s="135" t="s">
        <v>662</v>
      </c>
      <c r="K543" s="135" t="s">
        <v>1797</v>
      </c>
      <c r="L543" s="135" t="s">
        <v>51</v>
      </c>
      <c r="M543" s="135" t="s">
        <v>967</v>
      </c>
      <c r="N543" s="135" t="s">
        <v>654</v>
      </c>
      <c r="O543" s="135" t="s">
        <v>799</v>
      </c>
      <c r="Q543"/>
    </row>
    <row r="544" spans="1:17">
      <c r="A544" t="str">
        <f t="shared" si="51"/>
        <v>10-30</v>
      </c>
      <c r="B544" t="str">
        <f t="shared" si="52"/>
        <v>AUD</v>
      </c>
      <c r="C544" s="135" t="s">
        <v>793</v>
      </c>
      <c r="D544" s="135">
        <v>1231030</v>
      </c>
      <c r="E544" s="135" t="s">
        <v>657</v>
      </c>
      <c r="F544" s="135" t="s">
        <v>1136</v>
      </c>
      <c r="G544" s="135" t="s">
        <v>1137</v>
      </c>
      <c r="H544" s="135" t="s">
        <v>145</v>
      </c>
      <c r="I544" s="135" t="s">
        <v>1798</v>
      </c>
      <c r="J544" s="135" t="s">
        <v>662</v>
      </c>
      <c r="K544" s="135" t="s">
        <v>1799</v>
      </c>
      <c r="L544" s="135" t="s">
        <v>51</v>
      </c>
      <c r="M544" s="135" t="s">
        <v>967</v>
      </c>
      <c r="N544" s="135" t="s">
        <v>654</v>
      </c>
      <c r="O544" s="135" t="s">
        <v>799</v>
      </c>
      <c r="Q544"/>
    </row>
    <row r="545" spans="1:17">
      <c r="A545" t="str">
        <f t="shared" si="51"/>
        <v>10-30</v>
      </c>
      <c r="B545" t="str">
        <f t="shared" si="52"/>
        <v>AUD</v>
      </c>
      <c r="C545" s="135" t="s">
        <v>793</v>
      </c>
      <c r="D545" s="135">
        <v>1231030</v>
      </c>
      <c r="E545" s="135" t="s">
        <v>657</v>
      </c>
      <c r="F545" s="135" t="s">
        <v>1136</v>
      </c>
      <c r="G545" s="135" t="s">
        <v>1137</v>
      </c>
      <c r="H545" s="135" t="s">
        <v>145</v>
      </c>
      <c r="I545" s="135" t="s">
        <v>1800</v>
      </c>
      <c r="J545" s="135" t="s">
        <v>662</v>
      </c>
      <c r="K545" s="135" t="s">
        <v>1801</v>
      </c>
      <c r="L545" s="135" t="s">
        <v>51</v>
      </c>
      <c r="M545" s="135" t="s">
        <v>967</v>
      </c>
      <c r="N545" s="135" t="s">
        <v>654</v>
      </c>
      <c r="O545" s="135" t="s">
        <v>799</v>
      </c>
      <c r="Q545"/>
    </row>
    <row r="546" spans="1:17">
      <c r="A546" t="str">
        <f t="shared" si="51"/>
        <v>10-30</v>
      </c>
      <c r="B546" t="str">
        <f t="shared" si="52"/>
        <v>AUD</v>
      </c>
      <c r="C546" s="135" t="s">
        <v>793</v>
      </c>
      <c r="D546" s="135">
        <v>1231030</v>
      </c>
      <c r="E546" s="135" t="s">
        <v>657</v>
      </c>
      <c r="F546" s="135" t="s">
        <v>1136</v>
      </c>
      <c r="G546" s="135" t="s">
        <v>1137</v>
      </c>
      <c r="H546" s="135" t="s">
        <v>145</v>
      </c>
      <c r="I546" s="135" t="s">
        <v>1802</v>
      </c>
      <c r="J546" s="135" t="s">
        <v>662</v>
      </c>
      <c r="K546" s="135" t="s">
        <v>1803</v>
      </c>
      <c r="L546" s="135" t="s">
        <v>51</v>
      </c>
      <c r="M546" s="135" t="s">
        <v>967</v>
      </c>
      <c r="N546" s="135" t="s">
        <v>654</v>
      </c>
      <c r="O546" s="135" t="s">
        <v>799</v>
      </c>
      <c r="Q546"/>
    </row>
    <row r="547" spans="1:17">
      <c r="A547" t="str">
        <f t="shared" si="51"/>
        <v>10-30</v>
      </c>
      <c r="B547" t="str">
        <f t="shared" si="52"/>
        <v>AUD</v>
      </c>
      <c r="C547" s="135" t="s">
        <v>793</v>
      </c>
      <c r="D547" s="135">
        <v>1231030</v>
      </c>
      <c r="E547" s="135" t="s">
        <v>657</v>
      </c>
      <c r="F547" s="135" t="s">
        <v>1136</v>
      </c>
      <c r="G547" s="135" t="s">
        <v>1137</v>
      </c>
      <c r="H547" s="135" t="s">
        <v>145</v>
      </c>
      <c r="I547" s="135" t="s">
        <v>1804</v>
      </c>
      <c r="J547" s="135" t="s">
        <v>662</v>
      </c>
      <c r="K547" s="135" t="s">
        <v>1805</v>
      </c>
      <c r="L547" s="135" t="s">
        <v>51</v>
      </c>
      <c r="M547" s="135" t="s">
        <v>967</v>
      </c>
      <c r="N547" s="135" t="s">
        <v>654</v>
      </c>
      <c r="O547" s="135" t="s">
        <v>799</v>
      </c>
      <c r="Q547"/>
    </row>
    <row r="548" spans="1:17">
      <c r="A548" t="str">
        <f t="shared" si="51"/>
        <v>10-30</v>
      </c>
      <c r="B548" t="str">
        <f t="shared" si="52"/>
        <v>AUD</v>
      </c>
      <c r="C548" s="135" t="s">
        <v>793</v>
      </c>
      <c r="D548" s="135">
        <v>1231030</v>
      </c>
      <c r="E548" s="135" t="s">
        <v>657</v>
      </c>
      <c r="F548" s="135" t="s">
        <v>1136</v>
      </c>
      <c r="G548" s="135" t="s">
        <v>1137</v>
      </c>
      <c r="H548" s="135" t="s">
        <v>145</v>
      </c>
      <c r="I548" s="135" t="s">
        <v>1806</v>
      </c>
      <c r="J548" s="135" t="s">
        <v>662</v>
      </c>
      <c r="K548" s="135" t="s">
        <v>1807</v>
      </c>
      <c r="L548" s="135" t="s">
        <v>51</v>
      </c>
      <c r="M548" s="135" t="s">
        <v>967</v>
      </c>
      <c r="N548" s="135" t="s">
        <v>654</v>
      </c>
      <c r="O548" s="135" t="s">
        <v>799</v>
      </c>
      <c r="Q548"/>
    </row>
    <row r="549" spans="1:17">
      <c r="A549" t="str">
        <f t="shared" si="51"/>
        <v>10-30</v>
      </c>
      <c r="B549" t="str">
        <f t="shared" si="52"/>
        <v>AUD</v>
      </c>
      <c r="C549" s="135" t="s">
        <v>793</v>
      </c>
      <c r="D549" s="135">
        <v>1231030</v>
      </c>
      <c r="E549" s="135" t="s">
        <v>657</v>
      </c>
      <c r="F549" s="135" t="s">
        <v>1136</v>
      </c>
      <c r="G549" s="135" t="s">
        <v>1137</v>
      </c>
      <c r="H549" s="135" t="s">
        <v>145</v>
      </c>
      <c r="I549" s="135" t="s">
        <v>1808</v>
      </c>
      <c r="J549" s="135" t="s">
        <v>662</v>
      </c>
      <c r="K549" s="135" t="s">
        <v>1809</v>
      </c>
      <c r="L549" s="135" t="s">
        <v>51</v>
      </c>
      <c r="M549" s="135" t="s">
        <v>967</v>
      </c>
      <c r="N549" s="135" t="s">
        <v>654</v>
      </c>
      <c r="O549" s="135" t="s">
        <v>799</v>
      </c>
      <c r="Q549"/>
    </row>
    <row r="550" spans="1:17">
      <c r="A550" t="str">
        <f t="shared" si="51"/>
        <v>10-30</v>
      </c>
      <c r="B550" t="str">
        <f t="shared" si="52"/>
        <v>AUD</v>
      </c>
      <c r="C550" s="135" t="s">
        <v>793</v>
      </c>
      <c r="D550" s="135">
        <v>1231030</v>
      </c>
      <c r="E550" s="135" t="s">
        <v>657</v>
      </c>
      <c r="F550" s="135" t="s">
        <v>1136</v>
      </c>
      <c r="G550" s="135" t="s">
        <v>1137</v>
      </c>
      <c r="H550" s="135" t="s">
        <v>145</v>
      </c>
      <c r="I550" s="135" t="s">
        <v>1810</v>
      </c>
      <c r="J550" s="135" t="s">
        <v>662</v>
      </c>
      <c r="K550" s="135" t="s">
        <v>1811</v>
      </c>
      <c r="L550" s="135" t="s">
        <v>51</v>
      </c>
      <c r="M550" s="135" t="s">
        <v>967</v>
      </c>
      <c r="N550" s="135" t="s">
        <v>654</v>
      </c>
      <c r="O550" s="135" t="s">
        <v>799</v>
      </c>
      <c r="Q550"/>
    </row>
    <row r="551" spans="1:17">
      <c r="A551" t="str">
        <f t="shared" si="51"/>
        <v>10-30</v>
      </c>
      <c r="B551" t="str">
        <f t="shared" si="52"/>
        <v>AUD</v>
      </c>
      <c r="C551" s="135" t="s">
        <v>793</v>
      </c>
      <c r="D551" s="135">
        <v>1231030</v>
      </c>
      <c r="E551" s="135" t="s">
        <v>657</v>
      </c>
      <c r="F551" s="135" t="s">
        <v>1136</v>
      </c>
      <c r="G551" s="135" t="s">
        <v>1137</v>
      </c>
      <c r="H551" s="135" t="s">
        <v>145</v>
      </c>
      <c r="I551" s="135" t="s">
        <v>1812</v>
      </c>
      <c r="J551" s="135" t="s">
        <v>662</v>
      </c>
      <c r="K551" s="135" t="s">
        <v>1813</v>
      </c>
      <c r="L551" s="135" t="s">
        <v>51</v>
      </c>
      <c r="M551" s="135" t="s">
        <v>967</v>
      </c>
      <c r="N551" s="135" t="s">
        <v>654</v>
      </c>
      <c r="O551" s="135" t="s">
        <v>799</v>
      </c>
      <c r="Q551"/>
    </row>
    <row r="552" spans="1:17">
      <c r="A552" t="str">
        <f t="shared" si="51"/>
        <v>10-30</v>
      </c>
      <c r="B552" t="str">
        <f t="shared" si="52"/>
        <v>AUD</v>
      </c>
      <c r="C552" s="135" t="s">
        <v>793</v>
      </c>
      <c r="D552" s="135">
        <v>1231030</v>
      </c>
      <c r="E552" s="135" t="s">
        <v>657</v>
      </c>
      <c r="F552" s="135" t="s">
        <v>1136</v>
      </c>
      <c r="G552" s="135" t="s">
        <v>1137</v>
      </c>
      <c r="H552" s="135" t="s">
        <v>145</v>
      </c>
      <c r="I552" s="135" t="s">
        <v>1814</v>
      </c>
      <c r="J552" s="135" t="s">
        <v>662</v>
      </c>
      <c r="K552" s="135" t="s">
        <v>1815</v>
      </c>
      <c r="L552" s="135" t="s">
        <v>51</v>
      </c>
      <c r="M552" s="135" t="s">
        <v>967</v>
      </c>
      <c r="N552" s="135" t="s">
        <v>654</v>
      </c>
      <c r="O552" s="135" t="s">
        <v>799</v>
      </c>
      <c r="Q552"/>
    </row>
    <row r="553" spans="1:17">
      <c r="A553" t="str">
        <f t="shared" si="51"/>
        <v>10-30</v>
      </c>
      <c r="B553" t="str">
        <f t="shared" si="52"/>
        <v>AUD</v>
      </c>
      <c r="C553" s="135" t="s">
        <v>793</v>
      </c>
      <c r="D553" s="135">
        <v>1231030</v>
      </c>
      <c r="E553" s="135" t="s">
        <v>657</v>
      </c>
      <c r="F553" s="135" t="s">
        <v>1136</v>
      </c>
      <c r="G553" s="135" t="s">
        <v>1137</v>
      </c>
      <c r="H553" s="135" t="s">
        <v>145</v>
      </c>
      <c r="I553" s="135" t="s">
        <v>1816</v>
      </c>
      <c r="J553" s="135" t="s">
        <v>662</v>
      </c>
      <c r="K553" s="135" t="s">
        <v>1817</v>
      </c>
      <c r="L553" s="135" t="s">
        <v>51</v>
      </c>
      <c r="M553" s="135" t="s">
        <v>967</v>
      </c>
      <c r="N553" s="135" t="s">
        <v>654</v>
      </c>
      <c r="O553" s="135" t="s">
        <v>799</v>
      </c>
      <c r="Q553"/>
    </row>
    <row r="554" spans="1:17">
      <c r="A554" t="str">
        <f t="shared" si="51"/>
        <v>10-30</v>
      </c>
      <c r="B554" t="str">
        <f t="shared" si="52"/>
        <v>AUD</v>
      </c>
      <c r="C554" s="135" t="s">
        <v>793</v>
      </c>
      <c r="D554" s="135">
        <v>1231030</v>
      </c>
      <c r="E554" s="135" t="s">
        <v>657</v>
      </c>
      <c r="F554" s="135" t="s">
        <v>1136</v>
      </c>
      <c r="G554" s="135" t="s">
        <v>1137</v>
      </c>
      <c r="H554" s="135" t="s">
        <v>145</v>
      </c>
      <c r="I554" s="135" t="s">
        <v>1818</v>
      </c>
      <c r="J554" s="135" t="s">
        <v>662</v>
      </c>
      <c r="K554" s="135" t="s">
        <v>1819</v>
      </c>
      <c r="L554" s="135" t="s">
        <v>51</v>
      </c>
      <c r="M554" s="135" t="s">
        <v>967</v>
      </c>
      <c r="N554" s="135" t="s">
        <v>654</v>
      </c>
      <c r="O554" s="135" t="s">
        <v>799</v>
      </c>
      <c r="Q554"/>
    </row>
    <row r="555" spans="1:17">
      <c r="A555" t="str">
        <f t="shared" si="51"/>
        <v>10-30</v>
      </c>
      <c r="B555" t="str">
        <f t="shared" si="52"/>
        <v>AUD</v>
      </c>
      <c r="C555" s="135" t="s">
        <v>793</v>
      </c>
      <c r="D555" s="135">
        <v>1231030</v>
      </c>
      <c r="E555" s="135" t="s">
        <v>657</v>
      </c>
      <c r="F555" s="135" t="s">
        <v>1136</v>
      </c>
      <c r="G555" s="135" t="s">
        <v>1137</v>
      </c>
      <c r="H555" s="135" t="s">
        <v>145</v>
      </c>
      <c r="I555" s="135" t="s">
        <v>1820</v>
      </c>
      <c r="J555" s="135" t="s">
        <v>662</v>
      </c>
      <c r="K555" s="135" t="s">
        <v>1821</v>
      </c>
      <c r="L555" s="135" t="s">
        <v>51</v>
      </c>
      <c r="M555" s="135" t="s">
        <v>967</v>
      </c>
      <c r="N555" s="135" t="s">
        <v>654</v>
      </c>
      <c r="O555" s="135" t="s">
        <v>799</v>
      </c>
      <c r="Q555"/>
    </row>
    <row r="556" spans="1:17">
      <c r="A556" t="str">
        <f t="shared" si="51"/>
        <v>10-30</v>
      </c>
      <c r="B556" t="str">
        <f t="shared" si="52"/>
        <v>AUD</v>
      </c>
      <c r="C556" s="135" t="s">
        <v>793</v>
      </c>
      <c r="D556" s="135">
        <v>1231030</v>
      </c>
      <c r="E556" s="135" t="s">
        <v>657</v>
      </c>
      <c r="F556" s="135" t="s">
        <v>1136</v>
      </c>
      <c r="G556" s="135" t="s">
        <v>1137</v>
      </c>
      <c r="H556" s="135" t="s">
        <v>145</v>
      </c>
      <c r="I556" s="135" t="s">
        <v>1822</v>
      </c>
      <c r="J556" s="135" t="s">
        <v>662</v>
      </c>
      <c r="K556" s="135" t="s">
        <v>1823</v>
      </c>
      <c r="L556" s="135" t="s">
        <v>51</v>
      </c>
      <c r="M556" s="135" t="s">
        <v>967</v>
      </c>
      <c r="N556" s="135" t="s">
        <v>654</v>
      </c>
      <c r="O556" s="135" t="s">
        <v>799</v>
      </c>
      <c r="Q556"/>
    </row>
    <row r="557" spans="1:17">
      <c r="A557" t="str">
        <f t="shared" si="51"/>
        <v>10-30</v>
      </c>
      <c r="B557" t="str">
        <f t="shared" si="52"/>
        <v>AUD</v>
      </c>
      <c r="C557" s="135" t="s">
        <v>793</v>
      </c>
      <c r="D557" s="135">
        <v>1231030</v>
      </c>
      <c r="E557" s="135" t="s">
        <v>657</v>
      </c>
      <c r="F557" s="135" t="s">
        <v>1136</v>
      </c>
      <c r="G557" s="135" t="s">
        <v>1137</v>
      </c>
      <c r="H557" s="135" t="s">
        <v>145</v>
      </c>
      <c r="I557" s="135" t="s">
        <v>1824</v>
      </c>
      <c r="J557" s="135" t="s">
        <v>662</v>
      </c>
      <c r="K557" s="135" t="s">
        <v>1825</v>
      </c>
      <c r="L557" s="135" t="s">
        <v>51</v>
      </c>
      <c r="M557" s="135" t="s">
        <v>967</v>
      </c>
      <c r="N557" s="135" t="s">
        <v>654</v>
      </c>
      <c r="O557" s="135" t="s">
        <v>799</v>
      </c>
      <c r="Q557"/>
    </row>
    <row r="558" spans="1:17">
      <c r="A558" t="str">
        <f t="shared" ref="A558:A589" si="53">MID(D558,(LEN(D558)-3),2)&amp;"-"&amp;MID(D558,(LEN(D558)-1),2)</f>
        <v>10-30</v>
      </c>
      <c r="B558" t="str">
        <f t="shared" ref="B558:B589" si="54">IF(H558="AU","AUD","USD")</f>
        <v>AUD</v>
      </c>
      <c r="C558" s="135" t="s">
        <v>793</v>
      </c>
      <c r="D558" s="135">
        <v>1231030</v>
      </c>
      <c r="E558" s="135" t="s">
        <v>657</v>
      </c>
      <c r="F558" s="135" t="s">
        <v>1136</v>
      </c>
      <c r="G558" s="135" t="s">
        <v>1137</v>
      </c>
      <c r="H558" s="135" t="s">
        <v>145</v>
      </c>
      <c r="I558" s="135" t="s">
        <v>1826</v>
      </c>
      <c r="J558" s="135" t="s">
        <v>662</v>
      </c>
      <c r="K558" s="135" t="s">
        <v>1827</v>
      </c>
      <c r="L558" s="135" t="s">
        <v>51</v>
      </c>
      <c r="M558" s="135" t="s">
        <v>967</v>
      </c>
      <c r="N558" s="135" t="s">
        <v>654</v>
      </c>
      <c r="O558" s="135" t="s">
        <v>799</v>
      </c>
      <c r="Q558"/>
    </row>
    <row r="559" spans="1:17">
      <c r="A559" t="str">
        <f t="shared" si="53"/>
        <v>10-30</v>
      </c>
      <c r="B559" t="str">
        <f t="shared" si="54"/>
        <v>AUD</v>
      </c>
      <c r="C559" s="135" t="s">
        <v>793</v>
      </c>
      <c r="D559" s="135">
        <v>1231030</v>
      </c>
      <c r="E559" s="135" t="s">
        <v>657</v>
      </c>
      <c r="F559" s="135" t="s">
        <v>1136</v>
      </c>
      <c r="G559" s="135" t="s">
        <v>1137</v>
      </c>
      <c r="H559" s="135" t="s">
        <v>145</v>
      </c>
      <c r="I559" s="135" t="s">
        <v>1828</v>
      </c>
      <c r="J559" s="135" t="s">
        <v>662</v>
      </c>
      <c r="K559" s="135" t="s">
        <v>1829</v>
      </c>
      <c r="L559" s="135" t="s">
        <v>51</v>
      </c>
      <c r="M559" s="135" t="s">
        <v>967</v>
      </c>
      <c r="N559" s="135" t="s">
        <v>654</v>
      </c>
      <c r="O559" s="135" t="s">
        <v>799</v>
      </c>
      <c r="Q559"/>
    </row>
    <row r="560" spans="1:17">
      <c r="A560" t="str">
        <f t="shared" si="53"/>
        <v>10-30</v>
      </c>
      <c r="B560" t="str">
        <f t="shared" si="54"/>
        <v>AUD</v>
      </c>
      <c r="C560" s="135" t="s">
        <v>793</v>
      </c>
      <c r="D560" s="135">
        <v>1231030</v>
      </c>
      <c r="E560" s="135" t="s">
        <v>657</v>
      </c>
      <c r="F560" s="135" t="s">
        <v>1136</v>
      </c>
      <c r="G560" s="135" t="s">
        <v>1137</v>
      </c>
      <c r="H560" s="135" t="s">
        <v>145</v>
      </c>
      <c r="I560" s="135" t="s">
        <v>1830</v>
      </c>
      <c r="J560" s="135" t="s">
        <v>662</v>
      </c>
      <c r="K560" s="135" t="s">
        <v>1831</v>
      </c>
      <c r="L560" s="135" t="s">
        <v>51</v>
      </c>
      <c r="M560" s="135" t="s">
        <v>967</v>
      </c>
      <c r="N560" s="135" t="s">
        <v>654</v>
      </c>
      <c r="O560" s="135" t="s">
        <v>799</v>
      </c>
      <c r="Q560"/>
    </row>
    <row r="561" spans="1:17">
      <c r="A561" t="str">
        <f t="shared" si="53"/>
        <v>10-30</v>
      </c>
      <c r="B561" t="str">
        <f t="shared" si="54"/>
        <v>AUD</v>
      </c>
      <c r="C561" s="135" t="s">
        <v>793</v>
      </c>
      <c r="D561" s="135">
        <v>1231030</v>
      </c>
      <c r="E561" s="135" t="s">
        <v>657</v>
      </c>
      <c r="F561" s="135" t="s">
        <v>1136</v>
      </c>
      <c r="G561" s="135" t="s">
        <v>1137</v>
      </c>
      <c r="H561" s="135" t="s">
        <v>145</v>
      </c>
      <c r="I561" s="135" t="s">
        <v>1832</v>
      </c>
      <c r="J561" s="135" t="s">
        <v>662</v>
      </c>
      <c r="K561" s="135" t="s">
        <v>1833</v>
      </c>
      <c r="L561" s="135" t="s">
        <v>51</v>
      </c>
      <c r="M561" s="135" t="s">
        <v>967</v>
      </c>
      <c r="N561" s="135" t="s">
        <v>654</v>
      </c>
      <c r="O561" s="135" t="s">
        <v>799</v>
      </c>
      <c r="Q561"/>
    </row>
    <row r="562" spans="1:17">
      <c r="A562" t="str">
        <f t="shared" si="53"/>
        <v>10-30</v>
      </c>
      <c r="B562" t="str">
        <f t="shared" si="54"/>
        <v>AUD</v>
      </c>
      <c r="C562" s="135" t="s">
        <v>793</v>
      </c>
      <c r="D562" s="135">
        <v>1231030</v>
      </c>
      <c r="E562" s="135" t="s">
        <v>657</v>
      </c>
      <c r="F562" s="135" t="s">
        <v>1136</v>
      </c>
      <c r="G562" s="135" t="s">
        <v>1137</v>
      </c>
      <c r="H562" s="135" t="s">
        <v>145</v>
      </c>
      <c r="I562" s="135" t="s">
        <v>1834</v>
      </c>
      <c r="J562" s="135" t="s">
        <v>662</v>
      </c>
      <c r="K562" s="135" t="s">
        <v>1835</v>
      </c>
      <c r="L562" s="135" t="s">
        <v>51</v>
      </c>
      <c r="M562" s="135" t="s">
        <v>967</v>
      </c>
      <c r="N562" s="135" t="s">
        <v>654</v>
      </c>
      <c r="O562" s="135" t="s">
        <v>799</v>
      </c>
      <c r="Q562"/>
    </row>
    <row r="563" spans="1:17">
      <c r="A563" t="str">
        <f t="shared" si="53"/>
        <v>10-30</v>
      </c>
      <c r="B563" t="str">
        <f t="shared" si="54"/>
        <v>AUD</v>
      </c>
      <c r="C563" s="135" t="s">
        <v>793</v>
      </c>
      <c r="D563" s="135">
        <v>1231030</v>
      </c>
      <c r="E563" s="135" t="s">
        <v>657</v>
      </c>
      <c r="F563" s="135" t="s">
        <v>1136</v>
      </c>
      <c r="G563" s="135" t="s">
        <v>1137</v>
      </c>
      <c r="H563" s="135" t="s">
        <v>145</v>
      </c>
      <c r="I563" s="135" t="s">
        <v>1836</v>
      </c>
      <c r="J563" s="135" t="s">
        <v>662</v>
      </c>
      <c r="K563" s="135" t="s">
        <v>1837</v>
      </c>
      <c r="L563" s="135" t="s">
        <v>51</v>
      </c>
      <c r="M563" s="135" t="s">
        <v>967</v>
      </c>
      <c r="N563" s="135" t="s">
        <v>654</v>
      </c>
      <c r="O563" s="135" t="s">
        <v>799</v>
      </c>
      <c r="Q563"/>
    </row>
    <row r="564" spans="1:17">
      <c r="A564" t="str">
        <f t="shared" si="53"/>
        <v>10-30</v>
      </c>
      <c r="B564" t="str">
        <f t="shared" si="54"/>
        <v>AUD</v>
      </c>
      <c r="C564" s="135" t="s">
        <v>793</v>
      </c>
      <c r="D564" s="135">
        <v>1231030</v>
      </c>
      <c r="E564" s="135" t="s">
        <v>657</v>
      </c>
      <c r="F564" s="135" t="s">
        <v>1136</v>
      </c>
      <c r="G564" s="135" t="s">
        <v>1137</v>
      </c>
      <c r="H564" s="135" t="s">
        <v>145</v>
      </c>
      <c r="I564" s="135" t="s">
        <v>1838</v>
      </c>
      <c r="J564" s="135" t="s">
        <v>662</v>
      </c>
      <c r="K564" s="135" t="s">
        <v>1839</v>
      </c>
      <c r="L564" s="135" t="s">
        <v>51</v>
      </c>
      <c r="M564" s="135" t="s">
        <v>967</v>
      </c>
      <c r="N564" s="135" t="s">
        <v>654</v>
      </c>
      <c r="O564" s="135" t="s">
        <v>799</v>
      </c>
      <c r="Q564"/>
    </row>
    <row r="565" spans="1:17">
      <c r="A565" t="str">
        <f t="shared" si="53"/>
        <v>10-30</v>
      </c>
      <c r="B565" t="str">
        <f t="shared" si="54"/>
        <v>AUD</v>
      </c>
      <c r="C565" s="135" t="s">
        <v>793</v>
      </c>
      <c r="D565" s="135">
        <v>1231030</v>
      </c>
      <c r="E565" s="135" t="s">
        <v>657</v>
      </c>
      <c r="F565" s="135" t="s">
        <v>1136</v>
      </c>
      <c r="G565" s="135" t="s">
        <v>1137</v>
      </c>
      <c r="H565" s="135" t="s">
        <v>145</v>
      </c>
      <c r="I565" s="135" t="s">
        <v>1840</v>
      </c>
      <c r="J565" s="135" t="s">
        <v>662</v>
      </c>
      <c r="K565" s="135" t="s">
        <v>1841</v>
      </c>
      <c r="L565" s="135" t="s">
        <v>51</v>
      </c>
      <c r="M565" s="135" t="s">
        <v>967</v>
      </c>
      <c r="N565" s="135" t="s">
        <v>654</v>
      </c>
      <c r="O565" s="135" t="s">
        <v>799</v>
      </c>
      <c r="Q565"/>
    </row>
    <row r="566" spans="1:17">
      <c r="A566" t="str">
        <f t="shared" si="53"/>
        <v>10-30</v>
      </c>
      <c r="B566" t="str">
        <f t="shared" si="54"/>
        <v>AUD</v>
      </c>
      <c r="C566" s="135" t="s">
        <v>793</v>
      </c>
      <c r="D566" s="135">
        <v>1231030</v>
      </c>
      <c r="E566" s="135" t="s">
        <v>657</v>
      </c>
      <c r="F566" s="135" t="s">
        <v>1136</v>
      </c>
      <c r="G566" s="135" t="s">
        <v>1137</v>
      </c>
      <c r="H566" s="135" t="s">
        <v>145</v>
      </c>
      <c r="I566" s="135" t="s">
        <v>1842</v>
      </c>
      <c r="J566" s="135" t="s">
        <v>662</v>
      </c>
      <c r="K566" s="135" t="s">
        <v>1843</v>
      </c>
      <c r="L566" s="135" t="s">
        <v>51</v>
      </c>
      <c r="M566" s="135" t="s">
        <v>967</v>
      </c>
      <c r="N566" s="135" t="s">
        <v>654</v>
      </c>
      <c r="O566" s="135" t="s">
        <v>799</v>
      </c>
      <c r="Q566"/>
    </row>
    <row r="567" spans="1:17">
      <c r="A567" t="str">
        <f t="shared" si="53"/>
        <v>10-30</v>
      </c>
      <c r="B567" t="str">
        <f t="shared" si="54"/>
        <v>AUD</v>
      </c>
      <c r="C567" s="135" t="s">
        <v>793</v>
      </c>
      <c r="D567" s="135">
        <v>1231030</v>
      </c>
      <c r="E567" s="135" t="s">
        <v>657</v>
      </c>
      <c r="F567" s="135" t="s">
        <v>1136</v>
      </c>
      <c r="G567" s="135" t="s">
        <v>1137</v>
      </c>
      <c r="H567" s="135" t="s">
        <v>145</v>
      </c>
      <c r="I567" s="135" t="s">
        <v>1844</v>
      </c>
      <c r="J567" s="135" t="s">
        <v>662</v>
      </c>
      <c r="K567" s="135" t="s">
        <v>1845</v>
      </c>
      <c r="L567" s="135" t="s">
        <v>51</v>
      </c>
      <c r="M567" s="135" t="s">
        <v>967</v>
      </c>
      <c r="N567" s="135" t="s">
        <v>654</v>
      </c>
      <c r="O567" s="135" t="s">
        <v>799</v>
      </c>
      <c r="Q567"/>
    </row>
    <row r="568" spans="1:17">
      <c r="A568" t="str">
        <f t="shared" si="53"/>
        <v>10-30</v>
      </c>
      <c r="B568" t="str">
        <f t="shared" si="54"/>
        <v>AUD</v>
      </c>
      <c r="C568" s="135" t="s">
        <v>793</v>
      </c>
      <c r="D568" s="135">
        <v>1231030</v>
      </c>
      <c r="E568" s="135" t="s">
        <v>657</v>
      </c>
      <c r="F568" s="135" t="s">
        <v>1136</v>
      </c>
      <c r="G568" s="135" t="s">
        <v>1137</v>
      </c>
      <c r="H568" s="135" t="s">
        <v>145</v>
      </c>
      <c r="I568" s="135" t="s">
        <v>1848</v>
      </c>
      <c r="J568" s="135" t="s">
        <v>662</v>
      </c>
      <c r="K568" s="135" t="s">
        <v>1847</v>
      </c>
      <c r="L568" s="135" t="s">
        <v>51</v>
      </c>
      <c r="M568" s="135" t="s">
        <v>798</v>
      </c>
      <c r="N568" s="135" t="s">
        <v>654</v>
      </c>
      <c r="O568" s="135" t="s">
        <v>799</v>
      </c>
      <c r="Q568"/>
    </row>
    <row r="569" spans="1:17">
      <c r="A569" t="str">
        <f t="shared" si="53"/>
        <v>10-30</v>
      </c>
      <c r="B569" t="str">
        <f t="shared" si="54"/>
        <v>AUD</v>
      </c>
      <c r="C569" s="135" t="s">
        <v>793</v>
      </c>
      <c r="D569" s="135">
        <v>1231030</v>
      </c>
      <c r="E569" s="135" t="s">
        <v>657</v>
      </c>
      <c r="F569" s="135" t="s">
        <v>1136</v>
      </c>
      <c r="G569" s="135" t="s">
        <v>1137</v>
      </c>
      <c r="H569" s="135" t="s">
        <v>145</v>
      </c>
      <c r="I569" s="135" t="s">
        <v>1846</v>
      </c>
      <c r="J569" s="135" t="s">
        <v>662</v>
      </c>
      <c r="K569" s="135" t="s">
        <v>1847</v>
      </c>
      <c r="L569" s="135" t="s">
        <v>51</v>
      </c>
      <c r="M569" s="135" t="s">
        <v>798</v>
      </c>
      <c r="N569" s="135" t="s">
        <v>654</v>
      </c>
      <c r="O569" s="135" t="s">
        <v>799</v>
      </c>
      <c r="Q569"/>
    </row>
    <row r="570" spans="1:17">
      <c r="A570" t="str">
        <f t="shared" si="53"/>
        <v>10-30</v>
      </c>
      <c r="B570" t="str">
        <f t="shared" si="54"/>
        <v>AUD</v>
      </c>
      <c r="C570" s="135" t="s">
        <v>793</v>
      </c>
      <c r="D570" s="135">
        <v>1231030</v>
      </c>
      <c r="E570" s="135" t="s">
        <v>657</v>
      </c>
      <c r="F570" s="135" t="s">
        <v>1136</v>
      </c>
      <c r="G570" s="135" t="s">
        <v>1137</v>
      </c>
      <c r="H570" s="135" t="s">
        <v>145</v>
      </c>
      <c r="I570" s="135" t="s">
        <v>1849</v>
      </c>
      <c r="J570" s="135" t="s">
        <v>662</v>
      </c>
      <c r="K570" s="135" t="s">
        <v>1850</v>
      </c>
      <c r="L570" s="135" t="s">
        <v>51</v>
      </c>
      <c r="M570" s="135" t="s">
        <v>798</v>
      </c>
      <c r="N570" s="135" t="s">
        <v>654</v>
      </c>
      <c r="O570" s="135" t="s">
        <v>799</v>
      </c>
      <c r="Q570"/>
    </row>
    <row r="571" spans="1:17">
      <c r="A571" t="str">
        <f t="shared" si="53"/>
        <v>10-30</v>
      </c>
      <c r="B571" t="str">
        <f t="shared" si="54"/>
        <v>AUD</v>
      </c>
      <c r="C571" s="135" t="s">
        <v>793</v>
      </c>
      <c r="D571" s="135">
        <v>1231030</v>
      </c>
      <c r="E571" s="135" t="s">
        <v>657</v>
      </c>
      <c r="F571" s="135" t="s">
        <v>1136</v>
      </c>
      <c r="G571" s="135" t="s">
        <v>1137</v>
      </c>
      <c r="H571" s="135" t="s">
        <v>145</v>
      </c>
      <c r="I571" s="135" t="s">
        <v>1851</v>
      </c>
      <c r="J571" s="135" t="s">
        <v>662</v>
      </c>
      <c r="K571" s="135" t="s">
        <v>1852</v>
      </c>
      <c r="L571" s="135" t="s">
        <v>51</v>
      </c>
      <c r="M571" s="135" t="s">
        <v>798</v>
      </c>
      <c r="N571" s="135" t="s">
        <v>654</v>
      </c>
      <c r="O571" s="135" t="s">
        <v>799</v>
      </c>
      <c r="Q571"/>
    </row>
    <row r="572" spans="1:17">
      <c r="A572" t="str">
        <f t="shared" si="53"/>
        <v>10-30</v>
      </c>
      <c r="B572" t="str">
        <f t="shared" si="54"/>
        <v>AUD</v>
      </c>
      <c r="C572" s="135" t="s">
        <v>793</v>
      </c>
      <c r="D572" s="135">
        <v>1231030</v>
      </c>
      <c r="E572" s="135" t="s">
        <v>657</v>
      </c>
      <c r="F572" s="135" t="s">
        <v>1136</v>
      </c>
      <c r="G572" s="135" t="s">
        <v>1137</v>
      </c>
      <c r="H572" s="135" t="s">
        <v>145</v>
      </c>
      <c r="I572" s="135" t="s">
        <v>1853</v>
      </c>
      <c r="J572" s="135" t="s">
        <v>662</v>
      </c>
      <c r="K572" s="135" t="s">
        <v>1854</v>
      </c>
      <c r="L572" s="135" t="s">
        <v>148</v>
      </c>
      <c r="M572" s="135" t="s">
        <v>1855</v>
      </c>
      <c r="N572" s="135" t="s">
        <v>654</v>
      </c>
      <c r="O572" s="135" t="s">
        <v>799</v>
      </c>
      <c r="Q572"/>
    </row>
    <row r="573" spans="1:17">
      <c r="A573" t="str">
        <f t="shared" si="53"/>
        <v>10-30</v>
      </c>
      <c r="B573" t="str">
        <f t="shared" si="54"/>
        <v>AUD</v>
      </c>
      <c r="C573" s="135" t="s">
        <v>793</v>
      </c>
      <c r="D573" s="135">
        <v>1231030</v>
      </c>
      <c r="E573" s="135" t="s">
        <v>657</v>
      </c>
      <c r="F573" s="135" t="s">
        <v>1136</v>
      </c>
      <c r="G573" s="135" t="s">
        <v>1137</v>
      </c>
      <c r="H573" s="135" t="s">
        <v>145</v>
      </c>
      <c r="I573" s="135" t="s">
        <v>1856</v>
      </c>
      <c r="J573" s="135" t="s">
        <v>662</v>
      </c>
      <c r="K573" s="135" t="s">
        <v>1857</v>
      </c>
      <c r="L573" s="135" t="s">
        <v>148</v>
      </c>
      <c r="M573" s="135" t="s">
        <v>1855</v>
      </c>
      <c r="N573" s="135" t="s">
        <v>654</v>
      </c>
      <c r="O573" s="135" t="s">
        <v>799</v>
      </c>
      <c r="Q573"/>
    </row>
    <row r="574" spans="1:17">
      <c r="A574" t="str">
        <f t="shared" si="53"/>
        <v>10-30</v>
      </c>
      <c r="B574" t="str">
        <f t="shared" si="54"/>
        <v>AUD</v>
      </c>
      <c r="C574" s="135" t="s">
        <v>793</v>
      </c>
      <c r="D574" s="135">
        <v>1231030</v>
      </c>
      <c r="E574" s="135" t="s">
        <v>657</v>
      </c>
      <c r="F574" s="135" t="s">
        <v>1136</v>
      </c>
      <c r="G574" s="135" t="s">
        <v>1137</v>
      </c>
      <c r="H574" s="135" t="s">
        <v>145</v>
      </c>
      <c r="I574" s="135" t="s">
        <v>1858</v>
      </c>
      <c r="J574" s="135" t="s">
        <v>662</v>
      </c>
      <c r="K574" s="135" t="s">
        <v>1859</v>
      </c>
      <c r="L574" s="135" t="s">
        <v>148</v>
      </c>
      <c r="M574" s="135" t="s">
        <v>1855</v>
      </c>
      <c r="N574" s="135" t="s">
        <v>654</v>
      </c>
      <c r="O574" s="135" t="s">
        <v>799</v>
      </c>
      <c r="Q574"/>
    </row>
    <row r="575" spans="1:17">
      <c r="A575" t="str">
        <f t="shared" si="53"/>
        <v>10-30</v>
      </c>
      <c r="B575" t="str">
        <f t="shared" si="54"/>
        <v>AUD</v>
      </c>
      <c r="C575" s="135" t="s">
        <v>793</v>
      </c>
      <c r="D575" s="135">
        <v>1231030</v>
      </c>
      <c r="E575" s="135" t="s">
        <v>657</v>
      </c>
      <c r="F575" s="135" t="s">
        <v>1136</v>
      </c>
      <c r="G575" s="135" t="s">
        <v>1137</v>
      </c>
      <c r="H575" s="135" t="s">
        <v>145</v>
      </c>
      <c r="I575" s="135" t="s">
        <v>1860</v>
      </c>
      <c r="J575" s="135" t="s">
        <v>662</v>
      </c>
      <c r="K575" s="135" t="s">
        <v>1861</v>
      </c>
      <c r="L575" s="135" t="s">
        <v>110</v>
      </c>
      <c r="M575" s="135" t="s">
        <v>1862</v>
      </c>
      <c r="N575" s="135" t="s">
        <v>654</v>
      </c>
      <c r="O575" s="135" t="s">
        <v>799</v>
      </c>
      <c r="Q575"/>
    </row>
    <row r="576" spans="1:17">
      <c r="A576" t="str">
        <f t="shared" si="53"/>
        <v>10-30</v>
      </c>
      <c r="B576" t="str">
        <f t="shared" si="54"/>
        <v>AUD</v>
      </c>
      <c r="C576" s="135" t="s">
        <v>793</v>
      </c>
      <c r="D576" s="135">
        <v>1231030</v>
      </c>
      <c r="E576" s="135" t="s">
        <v>707</v>
      </c>
      <c r="F576" s="135" t="s">
        <v>1087</v>
      </c>
      <c r="G576" s="135" t="s">
        <v>1088</v>
      </c>
      <c r="H576" s="135" t="s">
        <v>145</v>
      </c>
      <c r="I576" s="135" t="s">
        <v>1863</v>
      </c>
      <c r="J576" s="135" t="s">
        <v>662</v>
      </c>
      <c r="K576" s="135" t="s">
        <v>1864</v>
      </c>
      <c r="L576" s="135" t="s">
        <v>59</v>
      </c>
      <c r="M576" s="135" t="s">
        <v>1692</v>
      </c>
      <c r="N576" s="135" t="s">
        <v>654</v>
      </c>
      <c r="O576" s="135" t="s">
        <v>665</v>
      </c>
      <c r="Q576"/>
    </row>
    <row r="577" spans="1:17">
      <c r="A577" t="str">
        <f t="shared" si="53"/>
        <v>10-30</v>
      </c>
      <c r="B577" t="str">
        <f t="shared" si="54"/>
        <v>AUD</v>
      </c>
      <c r="C577" s="135" t="s">
        <v>793</v>
      </c>
      <c r="D577" s="135">
        <v>1231030</v>
      </c>
      <c r="E577" s="135" t="s">
        <v>707</v>
      </c>
      <c r="F577" s="135" t="s">
        <v>1087</v>
      </c>
      <c r="G577" s="135" t="s">
        <v>1088</v>
      </c>
      <c r="H577" s="135" t="s">
        <v>145</v>
      </c>
      <c r="I577" s="135" t="s">
        <v>1865</v>
      </c>
      <c r="J577" s="135" t="s">
        <v>662</v>
      </c>
      <c r="K577" s="135" t="s">
        <v>1866</v>
      </c>
      <c r="L577" s="135" t="s">
        <v>59</v>
      </c>
      <c r="M577" s="135" t="s">
        <v>1692</v>
      </c>
      <c r="N577" s="135" t="s">
        <v>654</v>
      </c>
      <c r="O577" s="135" t="s">
        <v>665</v>
      </c>
      <c r="Q577"/>
    </row>
    <row r="578" spans="1:17">
      <c r="A578" t="str">
        <f t="shared" si="53"/>
        <v>10-31</v>
      </c>
      <c r="B578" t="str">
        <f t="shared" si="54"/>
        <v>AUD</v>
      </c>
      <c r="C578" s="135" t="s">
        <v>793</v>
      </c>
      <c r="D578" s="135">
        <v>1231031</v>
      </c>
      <c r="E578" s="135" t="s">
        <v>657</v>
      </c>
      <c r="F578" s="135" t="s">
        <v>794</v>
      </c>
      <c r="G578" s="135" t="s">
        <v>795</v>
      </c>
      <c r="H578" s="135" t="s">
        <v>145</v>
      </c>
      <c r="I578" s="135" t="s">
        <v>1867</v>
      </c>
      <c r="J578" s="135" t="s">
        <v>662</v>
      </c>
      <c r="K578" s="135" t="s">
        <v>1868</v>
      </c>
      <c r="L578" s="135" t="s">
        <v>51</v>
      </c>
      <c r="M578" s="135" t="s">
        <v>967</v>
      </c>
      <c r="N578" s="135" t="s">
        <v>654</v>
      </c>
      <c r="O578" s="135" t="s">
        <v>799</v>
      </c>
      <c r="Q578"/>
    </row>
    <row r="579" spans="1:17">
      <c r="A579" t="str">
        <f t="shared" si="53"/>
        <v>10-31</v>
      </c>
      <c r="B579" t="str">
        <f t="shared" si="54"/>
        <v>AUD</v>
      </c>
      <c r="C579" s="135" t="s">
        <v>793</v>
      </c>
      <c r="D579" s="135">
        <v>1231031</v>
      </c>
      <c r="E579" s="135" t="s">
        <v>657</v>
      </c>
      <c r="F579" s="135" t="s">
        <v>794</v>
      </c>
      <c r="G579" s="135" t="s">
        <v>795</v>
      </c>
      <c r="H579" s="135" t="s">
        <v>145</v>
      </c>
      <c r="I579" s="135" t="s">
        <v>1869</v>
      </c>
      <c r="J579" s="135" t="s">
        <v>662</v>
      </c>
      <c r="K579" s="135" t="s">
        <v>1870</v>
      </c>
      <c r="L579" s="135" t="s">
        <v>51</v>
      </c>
      <c r="M579" s="135" t="s">
        <v>798</v>
      </c>
      <c r="N579" s="135" t="s">
        <v>654</v>
      </c>
      <c r="O579" s="135" t="s">
        <v>799</v>
      </c>
      <c r="Q579"/>
    </row>
    <row r="580" spans="1:17">
      <c r="A580" t="str">
        <f t="shared" si="53"/>
        <v>10-31</v>
      </c>
      <c r="B580" t="str">
        <f t="shared" si="54"/>
        <v>AUD</v>
      </c>
      <c r="C580" s="135" t="s">
        <v>793</v>
      </c>
      <c r="D580" s="135">
        <v>1231031</v>
      </c>
      <c r="E580" s="135" t="s">
        <v>657</v>
      </c>
      <c r="F580" s="135" t="s">
        <v>794</v>
      </c>
      <c r="G580" s="135" t="s">
        <v>795</v>
      </c>
      <c r="H580" s="135" t="s">
        <v>145</v>
      </c>
      <c r="I580" s="135" t="s">
        <v>1871</v>
      </c>
      <c r="J580" s="135" t="s">
        <v>662</v>
      </c>
      <c r="K580" s="135" t="s">
        <v>1872</v>
      </c>
      <c r="L580" s="135" t="s">
        <v>51</v>
      </c>
      <c r="M580" s="135" t="s">
        <v>967</v>
      </c>
      <c r="N580" s="135" t="s">
        <v>654</v>
      </c>
      <c r="O580" s="135" t="s">
        <v>799</v>
      </c>
      <c r="Q580"/>
    </row>
    <row r="581" spans="1:17">
      <c r="A581" t="str">
        <f t="shared" si="53"/>
        <v>10-31</v>
      </c>
      <c r="B581" t="str">
        <f t="shared" si="54"/>
        <v>AUD</v>
      </c>
      <c r="C581" s="135" t="s">
        <v>793</v>
      </c>
      <c r="D581" s="135">
        <v>1231031</v>
      </c>
      <c r="E581" s="135" t="s">
        <v>657</v>
      </c>
      <c r="F581" s="135" t="s">
        <v>794</v>
      </c>
      <c r="G581" s="135" t="s">
        <v>795</v>
      </c>
      <c r="H581" s="135" t="s">
        <v>145</v>
      </c>
      <c r="I581" s="135" t="s">
        <v>1873</v>
      </c>
      <c r="J581" s="135" t="s">
        <v>662</v>
      </c>
      <c r="K581" s="135" t="s">
        <v>1874</v>
      </c>
      <c r="L581" s="135" t="s">
        <v>51</v>
      </c>
      <c r="M581" s="135" t="s">
        <v>967</v>
      </c>
      <c r="N581" s="135" t="s">
        <v>654</v>
      </c>
      <c r="O581" s="135" t="s">
        <v>799</v>
      </c>
      <c r="Q581"/>
    </row>
    <row r="582" spans="1:17">
      <c r="A582" t="str">
        <f t="shared" si="53"/>
        <v>10-31</v>
      </c>
      <c r="B582" t="str">
        <f t="shared" si="54"/>
        <v>AUD</v>
      </c>
      <c r="C582" s="135" t="s">
        <v>793</v>
      </c>
      <c r="D582" s="135">
        <v>1231031</v>
      </c>
      <c r="E582" s="135" t="s">
        <v>657</v>
      </c>
      <c r="F582" s="135" t="s">
        <v>794</v>
      </c>
      <c r="G582" s="135" t="s">
        <v>795</v>
      </c>
      <c r="H582" s="135" t="s">
        <v>145</v>
      </c>
      <c r="I582" s="135" t="s">
        <v>1875</v>
      </c>
      <c r="J582" s="135" t="s">
        <v>662</v>
      </c>
      <c r="K582" s="135" t="s">
        <v>1876</v>
      </c>
      <c r="L582" s="135" t="s">
        <v>51</v>
      </c>
      <c r="M582" s="135" t="s">
        <v>798</v>
      </c>
      <c r="N582" s="135" t="s">
        <v>654</v>
      </c>
      <c r="O582" s="135" t="s">
        <v>799</v>
      </c>
      <c r="Q582"/>
    </row>
    <row r="583" spans="1:17">
      <c r="A583" t="str">
        <f t="shared" si="53"/>
        <v>10-31</v>
      </c>
      <c r="B583" t="str">
        <f t="shared" si="54"/>
        <v>AUD</v>
      </c>
      <c r="C583" s="135" t="s">
        <v>793</v>
      </c>
      <c r="D583" s="135">
        <v>1231031</v>
      </c>
      <c r="E583" s="135" t="s">
        <v>707</v>
      </c>
      <c r="F583" s="135" t="s">
        <v>1243</v>
      </c>
      <c r="G583" s="135" t="s">
        <v>795</v>
      </c>
      <c r="H583" s="135" t="s">
        <v>145</v>
      </c>
      <c r="I583" s="135" t="s">
        <v>1877</v>
      </c>
      <c r="J583" s="135" t="s">
        <v>662</v>
      </c>
      <c r="K583" s="135" t="s">
        <v>1878</v>
      </c>
      <c r="L583" s="135" t="s">
        <v>71</v>
      </c>
      <c r="M583" s="135" t="s">
        <v>1879</v>
      </c>
      <c r="N583" s="135" t="s">
        <v>654</v>
      </c>
      <c r="O583" s="135" t="s">
        <v>655</v>
      </c>
      <c r="Q583"/>
    </row>
    <row r="584" spans="1:17">
      <c r="A584" t="str">
        <f t="shared" si="53"/>
        <v>10-31</v>
      </c>
      <c r="B584" t="str">
        <f t="shared" si="54"/>
        <v>AUD</v>
      </c>
      <c r="C584" s="135" t="s">
        <v>793</v>
      </c>
      <c r="D584" s="135">
        <v>1231031</v>
      </c>
      <c r="E584" s="135" t="s">
        <v>707</v>
      </c>
      <c r="F584" s="135" t="s">
        <v>1243</v>
      </c>
      <c r="G584" s="135" t="s">
        <v>795</v>
      </c>
      <c r="H584" s="135" t="s">
        <v>145</v>
      </c>
      <c r="I584" s="135" t="s">
        <v>1880</v>
      </c>
      <c r="J584" s="135" t="s">
        <v>662</v>
      </c>
      <c r="K584" s="135" t="s">
        <v>1881</v>
      </c>
      <c r="L584" s="135" t="s">
        <v>71</v>
      </c>
      <c r="M584" s="135" t="s">
        <v>1879</v>
      </c>
      <c r="N584" s="135" t="s">
        <v>654</v>
      </c>
      <c r="O584" s="135" t="s">
        <v>655</v>
      </c>
      <c r="Q584"/>
    </row>
    <row r="585" spans="1:17">
      <c r="A585" t="str">
        <f t="shared" si="53"/>
        <v>10-31</v>
      </c>
      <c r="B585" t="str">
        <f t="shared" si="54"/>
        <v>AUD</v>
      </c>
      <c r="C585" s="135" t="s">
        <v>793</v>
      </c>
      <c r="D585" s="135">
        <v>1231031</v>
      </c>
      <c r="E585" s="135" t="s">
        <v>657</v>
      </c>
      <c r="F585" s="135" t="s">
        <v>1136</v>
      </c>
      <c r="G585" s="135" t="s">
        <v>1137</v>
      </c>
      <c r="H585" s="135" t="s">
        <v>145</v>
      </c>
      <c r="I585" s="135" t="s">
        <v>1882</v>
      </c>
      <c r="J585" s="135" t="s">
        <v>662</v>
      </c>
      <c r="K585" s="135" t="s">
        <v>1883</v>
      </c>
      <c r="L585" s="135" t="s">
        <v>51</v>
      </c>
      <c r="M585" s="135" t="s">
        <v>967</v>
      </c>
      <c r="N585" s="135" t="s">
        <v>654</v>
      </c>
      <c r="O585" s="135" t="s">
        <v>799</v>
      </c>
      <c r="Q585"/>
    </row>
    <row r="586" spans="1:17">
      <c r="A586" t="str">
        <f t="shared" si="53"/>
        <v>10-31</v>
      </c>
      <c r="B586" t="str">
        <f t="shared" si="54"/>
        <v>USD</v>
      </c>
      <c r="C586" s="135" t="s">
        <v>793</v>
      </c>
      <c r="D586" s="135">
        <v>1231031</v>
      </c>
      <c r="E586" s="135" t="s">
        <v>657</v>
      </c>
      <c r="F586" s="135" t="s">
        <v>1098</v>
      </c>
      <c r="G586" s="135" t="s">
        <v>1099</v>
      </c>
      <c r="H586" s="135" t="s">
        <v>1100</v>
      </c>
      <c r="I586" s="135" t="s">
        <v>1884</v>
      </c>
      <c r="J586" s="135" t="s">
        <v>662</v>
      </c>
      <c r="K586" s="135" t="s">
        <v>1885</v>
      </c>
      <c r="L586" s="135" t="s">
        <v>66</v>
      </c>
      <c r="M586" s="135" t="s">
        <v>823</v>
      </c>
      <c r="N586" s="135" t="s">
        <v>654</v>
      </c>
      <c r="O586" s="135" t="s">
        <v>799</v>
      </c>
      <c r="Q586"/>
    </row>
    <row r="587" spans="1:17">
      <c r="A587" t="str">
        <f t="shared" si="53"/>
        <v>10-31</v>
      </c>
      <c r="B587" t="str">
        <f t="shared" si="54"/>
        <v>USD</v>
      </c>
      <c r="C587" s="135" t="s">
        <v>793</v>
      </c>
      <c r="D587" s="135">
        <v>1231031</v>
      </c>
      <c r="E587" s="135" t="s">
        <v>657</v>
      </c>
      <c r="F587" s="135" t="s">
        <v>1098</v>
      </c>
      <c r="G587" s="135" t="s">
        <v>1099</v>
      </c>
      <c r="H587" s="135" t="s">
        <v>1100</v>
      </c>
      <c r="I587" s="135" t="s">
        <v>1886</v>
      </c>
      <c r="J587" s="135" t="s">
        <v>662</v>
      </c>
      <c r="K587" s="135" t="s">
        <v>1887</v>
      </c>
      <c r="L587" s="135" t="s">
        <v>51</v>
      </c>
      <c r="M587" s="135" t="s">
        <v>1106</v>
      </c>
      <c r="N587" s="135" t="s">
        <v>654</v>
      </c>
      <c r="O587" s="135" t="s">
        <v>799</v>
      </c>
      <c r="Q587"/>
    </row>
    <row r="588" spans="1:17">
      <c r="A588" t="str">
        <f t="shared" si="53"/>
        <v>10-31</v>
      </c>
      <c r="B588" t="str">
        <f t="shared" si="54"/>
        <v>USD</v>
      </c>
      <c r="C588" s="135" t="s">
        <v>793</v>
      </c>
      <c r="D588" s="135">
        <v>1231031</v>
      </c>
      <c r="E588" s="135" t="s">
        <v>657</v>
      </c>
      <c r="F588" s="135" t="s">
        <v>1098</v>
      </c>
      <c r="G588" s="135" t="s">
        <v>1099</v>
      </c>
      <c r="H588" s="135" t="s">
        <v>1100</v>
      </c>
      <c r="I588" s="135" t="s">
        <v>1888</v>
      </c>
      <c r="J588" s="135" t="s">
        <v>662</v>
      </c>
      <c r="K588" s="135" t="s">
        <v>1889</v>
      </c>
      <c r="L588" s="135" t="s">
        <v>51</v>
      </c>
      <c r="M588" s="135" t="s">
        <v>1106</v>
      </c>
      <c r="N588" s="135" t="s">
        <v>654</v>
      </c>
      <c r="O588" s="135" t="s">
        <v>799</v>
      </c>
      <c r="Q588"/>
    </row>
    <row r="589" spans="1:17">
      <c r="A589" t="str">
        <f t="shared" si="53"/>
        <v>10-31</v>
      </c>
      <c r="B589" t="str">
        <f t="shared" si="54"/>
        <v>USD</v>
      </c>
      <c r="C589" s="135" t="s">
        <v>793</v>
      </c>
      <c r="D589" s="135">
        <v>1231031</v>
      </c>
      <c r="E589" s="135" t="s">
        <v>657</v>
      </c>
      <c r="F589" s="135" t="s">
        <v>1098</v>
      </c>
      <c r="G589" s="135" t="s">
        <v>1099</v>
      </c>
      <c r="H589" s="135" t="s">
        <v>1100</v>
      </c>
      <c r="I589" s="135" t="s">
        <v>1890</v>
      </c>
      <c r="J589" s="135" t="s">
        <v>662</v>
      </c>
      <c r="K589" s="135" t="s">
        <v>1891</v>
      </c>
      <c r="L589" s="135" t="s">
        <v>51</v>
      </c>
      <c r="M589" s="135" t="s">
        <v>1106</v>
      </c>
      <c r="N589" s="135" t="s">
        <v>654</v>
      </c>
      <c r="O589" s="135" t="s">
        <v>799</v>
      </c>
      <c r="Q589"/>
    </row>
    <row r="590" spans="1:17">
      <c r="A590"/>
      <c r="B590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Q590"/>
    </row>
    <row r="591" spans="1:17">
      <c r="A591"/>
      <c r="B591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Q591"/>
    </row>
    <row r="592" spans="1:17">
      <c r="A592"/>
      <c r="B592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Q592"/>
    </row>
    <row r="593" spans="1:17">
      <c r="A593"/>
      <c r="B593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Q593"/>
    </row>
    <row r="594" spans="1:17">
      <c r="A594"/>
      <c r="B594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Q594"/>
    </row>
    <row r="595" spans="1:17">
      <c r="A595"/>
      <c r="B59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Q595"/>
    </row>
    <row r="596" spans="1:17">
      <c r="A596"/>
      <c r="B596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Q596"/>
    </row>
    <row r="597" spans="1:17">
      <c r="A597"/>
      <c r="B597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Q597"/>
    </row>
    <row r="598" spans="1:17">
      <c r="A598"/>
      <c r="B598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Q598"/>
    </row>
    <row r="599" spans="1:17">
      <c r="A599"/>
      <c r="B599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Q599"/>
    </row>
    <row r="600" spans="1:17">
      <c r="A600"/>
      <c r="B600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Q600"/>
    </row>
    <row r="601" spans="1:17">
      <c r="A601"/>
      <c r="B601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Q601"/>
    </row>
    <row r="602" spans="1:17">
      <c r="A602"/>
      <c r="B602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Q602"/>
    </row>
    <row r="603" spans="1:17">
      <c r="A603"/>
      <c r="B603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Q603"/>
    </row>
    <row r="604" spans="1:17">
      <c r="A604"/>
      <c r="B604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Q604"/>
    </row>
    <row r="605" spans="1:17">
      <c r="A605"/>
      <c r="B605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Q605"/>
    </row>
    <row r="606" spans="1:17">
      <c r="A606"/>
      <c r="B606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Q606"/>
    </row>
    <row r="607" spans="1:17">
      <c r="A607"/>
      <c r="B607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Q607"/>
    </row>
    <row r="608" spans="1:17">
      <c r="A608"/>
      <c r="B60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Q608"/>
    </row>
    <row r="609" spans="1:17">
      <c r="A609"/>
      <c r="B609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Q609"/>
    </row>
    <row r="610" spans="1:17">
      <c r="A610"/>
      <c r="B610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Q610"/>
    </row>
    <row r="611" spans="1:17">
      <c r="A611"/>
      <c r="B611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Q611"/>
    </row>
    <row r="612" spans="1:17"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7"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7"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7"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7"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7"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7"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7"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7"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7"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7"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7"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7"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3:15"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3:15"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3:15"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3:15"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3:15"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3:15"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3:15"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3:15"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3:15"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3:15"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3:15"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3:15"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3:15"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3:15"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3:15"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3:15"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69"/>
      <c r="O640" s="29"/>
    </row>
    <row r="641" spans="3:15"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3:15"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3:15"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3:15"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3:15"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3:15"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3:15"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3:15"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3:15"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3:15"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3:15"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3:15"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3:15"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3:15"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3:15"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3:15"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3:15"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3:15"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3:15"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3:15"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3:15"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3:15"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3:15"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3:15"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3:15"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3:15"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3:15"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3:15"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3:15"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3:15"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3:15"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3:15"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3:15"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3:15"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3:15"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3:15"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3:15"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3:15"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3:15"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3:15"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3:15"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3:15"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3:15"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3:15"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3:15"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3:15"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3:15"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3:15"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3:15"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3:15"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3:15"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3:15"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3:15"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3:15"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3:15"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3:15"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3:15"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3:15"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3:15"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3:15"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3:15"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3:15"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3:15"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3:15"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3:15"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3:15"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3:15"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3:15"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3:15"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3:15"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3:15"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3:15"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3:15"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3:15"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3:15"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3:15"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3:15"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3:15"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3:15"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3:15"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spans="3:15"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  <row r="722" spans="3:15"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</row>
    <row r="723" spans="3:15"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</row>
    <row r="724" spans="3:15"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</row>
    <row r="725" spans="3:15"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</row>
    <row r="726" spans="3:15"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</row>
    <row r="727" spans="3:15"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</row>
    <row r="728" spans="3:15"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</row>
    <row r="729" spans="3:15"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</row>
    <row r="730" spans="3:15"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</row>
    <row r="731" spans="3:15"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</row>
    <row r="732" spans="3:15"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</row>
    <row r="733" spans="3:15"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</row>
    <row r="734" spans="3:15"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</row>
    <row r="735" spans="3:15"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</row>
    <row r="736" spans="3:15"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</row>
    <row r="737" spans="3:15"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</row>
    <row r="738" spans="3:15"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</row>
    <row r="739" spans="3:15"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</row>
    <row r="740" spans="3:15"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</row>
    <row r="741" spans="3:15"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</row>
    <row r="742" spans="3:15"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</row>
    <row r="743" spans="3:15"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</row>
    <row r="744" spans="3:15"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</row>
    <row r="745" spans="3:15"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</row>
    <row r="746" spans="3:15"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</row>
    <row r="747" spans="3:15"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</row>
    <row r="748" spans="3:15"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</row>
    <row r="749" spans="3:15"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</row>
    <row r="750" spans="3:15"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</row>
    <row r="751" spans="3:15"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</row>
    <row r="752" spans="3:15"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</row>
    <row r="753" spans="3:15"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</row>
    <row r="754" spans="3:15"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</row>
    <row r="755" spans="3:15"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</row>
    <row r="756" spans="3:15"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</row>
    <row r="757" spans="3:15"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</row>
    <row r="758" spans="3:15"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</row>
    <row r="759" spans="3:15"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</row>
    <row r="760" spans="3:15"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spans="3:15"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</row>
    <row r="762" spans="3:15"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</row>
    <row r="763" spans="3:15"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</row>
    <row r="764" spans="3:15"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</row>
    <row r="765" spans="3:15"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</row>
    <row r="766" spans="3:15"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</row>
    <row r="767" spans="3:15"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  <row r="768" spans="3:15"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</row>
    <row r="769" spans="3:15"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</row>
    <row r="770" spans="3:15"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</row>
    <row r="771" spans="3:15"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</row>
    <row r="772" spans="3:15"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</row>
    <row r="773" spans="3:15"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</row>
    <row r="774" spans="3:15"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</row>
    <row r="775" spans="3:15"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</row>
    <row r="776" spans="3:15"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</row>
    <row r="777" spans="3:15"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</row>
    <row r="778" spans="3:15"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</row>
    <row r="779" spans="3:15"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</row>
    <row r="780" spans="3:15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</row>
    <row r="781" spans="3:15"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</row>
    <row r="782" spans="3:15"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</row>
    <row r="783" spans="3:15"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</row>
    <row r="784" spans="3:15"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</row>
    <row r="785" spans="3:15"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</row>
    <row r="786" spans="3:15"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</row>
    <row r="787" spans="3:15"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</row>
    <row r="788" spans="3:15"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</row>
    <row r="789" spans="3:15"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</row>
    <row r="790" spans="3:15"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</row>
    <row r="791" spans="3:15"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</row>
    <row r="792" spans="3:15"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</row>
    <row r="793" spans="3:15"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</row>
    <row r="794" spans="3:15"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</row>
    <row r="795" spans="3:15"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</row>
    <row r="796" spans="3:15"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</row>
    <row r="797" spans="3:15"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</row>
    <row r="798" spans="3:15"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</row>
    <row r="799" spans="3:15"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</row>
    <row r="800" spans="3:15"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</row>
    <row r="801" spans="3:15"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</row>
    <row r="802" spans="3:15"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</row>
    <row r="803" spans="3:15"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</row>
    <row r="804" spans="3:15"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</row>
    <row r="805" spans="3:15"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</row>
    <row r="806" spans="3:15"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</row>
    <row r="807" spans="3:15"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</row>
    <row r="808" spans="3:15"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</row>
    <row r="809" spans="3:15"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</row>
    <row r="810" spans="3:15"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</row>
    <row r="811" spans="3:15"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</row>
    <row r="812" spans="3:15"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</row>
    <row r="813" spans="3:15"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</row>
    <row r="814" spans="3:15"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</row>
    <row r="815" spans="3:15"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</row>
    <row r="816" spans="3:15"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</row>
    <row r="817" spans="3:15"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</row>
    <row r="818" spans="3:15"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</row>
    <row r="819" spans="3:15"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</row>
    <row r="820" spans="3:15"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</row>
    <row r="821" spans="3:15"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</row>
    <row r="822" spans="3:15"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</row>
    <row r="823" spans="3:15"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</row>
    <row r="824" spans="3:15"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</row>
    <row r="825" spans="3:15"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</row>
    <row r="826" spans="3:15"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</row>
    <row r="827" spans="3:15"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</row>
    <row r="828" spans="3:15"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</row>
    <row r="829" spans="3:15"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</row>
    <row r="830" spans="3:15"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</row>
    <row r="831" spans="3:15"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</row>
    <row r="832" spans="3:15"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</row>
    <row r="833" spans="3:15"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</row>
    <row r="834" spans="3:15"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</row>
    <row r="835" spans="3:15"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</row>
    <row r="836" spans="3:15"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</row>
    <row r="837" spans="3:15"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</row>
    <row r="838" spans="3:15"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</row>
    <row r="839" spans="3:15"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</row>
    <row r="840" spans="3:15"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</row>
    <row r="841" spans="3:15"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</row>
    <row r="842" spans="3:15"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</row>
    <row r="843" spans="3:15"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</row>
    <row r="844" spans="3:15"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</row>
    <row r="845" spans="3:15"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</row>
    <row r="846" spans="3:15"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</row>
    <row r="847" spans="3:15"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</row>
    <row r="848" spans="3:15"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</row>
    <row r="849" spans="3:15"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</row>
    <row r="850" spans="3:15"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</row>
    <row r="851" spans="3:15"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</row>
    <row r="852" spans="3:15"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</row>
    <row r="853" spans="3:15"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</row>
    <row r="854" spans="3:15"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</row>
    <row r="855" spans="3:15"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</row>
    <row r="856" spans="3:15"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</row>
    <row r="857" spans="3:15"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</row>
    <row r="858" spans="3:15"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</row>
    <row r="859" spans="3:15"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</row>
    <row r="860" spans="3:15"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</row>
    <row r="861" spans="3:15"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</row>
    <row r="862" spans="3:15"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</row>
    <row r="863" spans="3:15"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</row>
    <row r="864" spans="3:15"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</row>
    <row r="865" spans="3:15"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</row>
    <row r="866" spans="3:15"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</row>
    <row r="867" spans="3:15"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</row>
    <row r="868" spans="3:15"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</row>
    <row r="869" spans="3:15"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</row>
    <row r="870" spans="3:15"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</row>
    <row r="871" spans="3:15"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</row>
    <row r="872" spans="3:15"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</row>
    <row r="873" spans="3:15"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</row>
    <row r="874" spans="3:15"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</row>
    <row r="875" spans="3:15"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</row>
    <row r="876" spans="3:15"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</row>
    <row r="877" spans="3:15"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</row>
    <row r="878" spans="3:15"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</row>
    <row r="879" spans="3:15"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</row>
    <row r="880" spans="3:15"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</row>
    <row r="881" spans="3:15"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</row>
    <row r="882" spans="3:15"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</row>
    <row r="883" spans="3:15"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</row>
    <row r="884" spans="3:15"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</row>
    <row r="885" spans="3:15"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</row>
    <row r="886" spans="3:15"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</row>
    <row r="887" spans="3:15"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</row>
    <row r="888" spans="3:15"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</row>
    <row r="889" spans="3:15"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</row>
    <row r="890" spans="3:15"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</row>
    <row r="891" spans="3:15"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</row>
    <row r="892" spans="3:15"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</row>
    <row r="893" spans="3:15"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</row>
    <row r="894" spans="3:15"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</row>
    <row r="895" spans="3:15"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</row>
    <row r="896" spans="3:15"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</row>
    <row r="897" spans="3:15"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</row>
    <row r="898" spans="3:15"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</row>
    <row r="899" spans="3:15"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</row>
    <row r="900" spans="3:15"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</row>
    <row r="901" spans="3:15"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</row>
    <row r="902" spans="3:15"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</row>
    <row r="903" spans="3:15"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</row>
    <row r="904" spans="3:15"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</row>
    <row r="905" spans="3:15"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</row>
    <row r="906" spans="3:15"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</row>
    <row r="907" spans="3:15"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</row>
    <row r="908" spans="3:15"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</row>
    <row r="909" spans="3:15"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</row>
    <row r="910" spans="3:15"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</row>
    <row r="911" spans="3:15"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</row>
    <row r="912" spans="3:15"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</row>
    <row r="913" spans="3:15"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</row>
    <row r="914" spans="3:15"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</row>
    <row r="915" spans="3:15"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</row>
    <row r="916" spans="3:15"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</row>
    <row r="917" spans="3:15"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</row>
    <row r="918" spans="3:15"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</row>
    <row r="919" spans="3:15"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</row>
    <row r="920" spans="3:15"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</row>
    <row r="921" spans="3:15"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</row>
    <row r="922" spans="3:15"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</row>
    <row r="923" spans="3:15"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</row>
    <row r="924" spans="3:15"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</row>
    <row r="925" spans="3:15"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</row>
    <row r="926" spans="3:15"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</row>
    <row r="927" spans="3:15"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</row>
    <row r="928" spans="3:15"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</row>
    <row r="929" spans="3:15"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</row>
    <row r="930" spans="3:15"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</row>
    <row r="931" spans="3:15"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</row>
    <row r="932" spans="3:15"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</row>
    <row r="933" spans="3:15"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</row>
    <row r="934" spans="3:15"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</row>
    <row r="935" spans="3:15"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</row>
    <row r="936" spans="3:15"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</row>
    <row r="937" spans="3:15"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</row>
    <row r="938" spans="3:15"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</row>
    <row r="939" spans="3:15"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</row>
    <row r="940" spans="3:15"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</row>
    <row r="941" spans="3:15"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</row>
    <row r="942" spans="3:15"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</row>
    <row r="943" spans="3:15"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</row>
    <row r="944" spans="3:15"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</row>
    <row r="945" spans="3:15"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</row>
    <row r="946" spans="3:15"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</row>
    <row r="947" spans="3:15"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</row>
    <row r="948" spans="3:15"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</row>
    <row r="949" spans="3:15"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</row>
    <row r="950" spans="3:15"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</row>
    <row r="951" spans="3:15"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</row>
    <row r="952" spans="3:15"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</row>
    <row r="953" spans="3:15"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</row>
    <row r="954" spans="3:15"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</row>
    <row r="955" spans="3:15"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</row>
    <row r="956" spans="3:15"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</row>
    <row r="957" spans="3:15"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</row>
    <row r="958" spans="3:15"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</row>
    <row r="959" spans="3:15"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</row>
    <row r="960" spans="3:15"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</row>
    <row r="961" spans="3:15"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</row>
    <row r="962" spans="3:15"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</row>
    <row r="963" spans="3:15"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</row>
    <row r="964" spans="3:15"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</row>
    <row r="965" spans="3:15"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</row>
    <row r="966" spans="3:15"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</row>
    <row r="967" spans="3:15"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</row>
    <row r="968" spans="3:15"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</row>
    <row r="969" spans="3:15"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</row>
    <row r="970" spans="3:15"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</row>
    <row r="971" spans="3:15"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</row>
    <row r="972" spans="3:15"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</row>
    <row r="973" spans="3:15"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</row>
    <row r="974" spans="3:15"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</row>
    <row r="975" spans="3:15"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</row>
    <row r="976" spans="3:15"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</row>
    <row r="977" spans="3:15"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</row>
    <row r="978" spans="3:15"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</row>
    <row r="979" spans="3:15"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</row>
    <row r="980" spans="3:15"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</row>
    <row r="981" spans="3:15"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</row>
    <row r="982" spans="3:15"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</row>
    <row r="983" spans="3:15"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</row>
    <row r="984" spans="3:15"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</row>
    <row r="985" spans="3:15"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</row>
    <row r="986" spans="3:15"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</row>
    <row r="987" spans="3:15"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</row>
    <row r="988" spans="3:15"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</row>
    <row r="989" spans="3:15"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</row>
    <row r="990" spans="3:15"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</row>
    <row r="991" spans="3:15"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</row>
    <row r="992" spans="3:15"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</row>
    <row r="993" spans="3:15"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</row>
    <row r="994" spans="3:15"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</row>
    <row r="995" spans="3:15"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</row>
    <row r="996" spans="3:15"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</row>
    <row r="997" spans="3:15"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</row>
    <row r="998" spans="3:15"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</row>
    <row r="999" spans="3:15"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</row>
    <row r="1000" spans="3:15"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</row>
    <row r="1001" spans="3:15"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</row>
    <row r="1002" spans="3:15"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</row>
    <row r="1003" spans="3:15"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</row>
    <row r="1004" spans="3:15"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</row>
    <row r="1005" spans="3:15"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</row>
    <row r="1006" spans="3:15"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</row>
    <row r="1007" spans="3:15"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</row>
    <row r="1008" spans="3:15"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</row>
    <row r="1009" spans="3:15"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</row>
    <row r="1010" spans="3:15"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</row>
    <row r="1011" spans="3:15"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</row>
    <row r="1012" spans="3:15"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</row>
    <row r="1013" spans="3:15"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</row>
    <row r="1014" spans="3:15"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</row>
    <row r="1015" spans="3:15"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</row>
    <row r="1016" spans="3:15"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</row>
    <row r="1017" spans="3:15"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</row>
    <row r="1018" spans="3:15"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</row>
    <row r="1019" spans="3:15"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</row>
    <row r="1020" spans="3:15"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</row>
    <row r="1021" spans="3:15"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</row>
    <row r="1022" spans="3:15"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</row>
    <row r="1023" spans="3:15"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</row>
    <row r="1024" spans="3:15"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</row>
    <row r="1025" spans="3:15"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</row>
    <row r="1026" spans="3:15"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</row>
    <row r="1027" spans="3:15"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</row>
    <row r="1028" spans="3:15"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</row>
    <row r="1029" spans="3:15"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</row>
    <row r="1030" spans="3:15"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</row>
    <row r="1031" spans="3:15"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</row>
    <row r="1032" spans="3:15"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</row>
    <row r="1033" spans="3:15"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</row>
    <row r="1034" spans="3:15"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</row>
    <row r="1035" spans="3:15"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</row>
    <row r="1036" spans="3:15"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</row>
    <row r="1037" spans="3:15"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</row>
    <row r="1038" spans="3:15"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</row>
    <row r="1039" spans="3:15"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</row>
    <row r="1040" spans="3:15"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</row>
    <row r="1041" spans="3:15"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</row>
    <row r="1042" spans="3:15"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</row>
    <row r="1043" spans="3:15"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</row>
    <row r="1044" spans="3:15"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</row>
    <row r="1045" spans="3:15"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</row>
    <row r="1046" spans="3:15"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</row>
    <row r="1047" spans="3:15"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</row>
    <row r="1048" spans="3:15"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</row>
    <row r="1049" spans="3:15"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</row>
    <row r="1050" spans="3:15"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</row>
    <row r="1051" spans="3:15"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</row>
    <row r="1052" spans="3:15"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</row>
    <row r="1053" spans="3:15"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</row>
    <row r="1054" spans="3:15"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</row>
    <row r="1055" spans="3:15"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</row>
    <row r="1056" spans="3:15"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</row>
    <row r="1057" spans="3:15"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</row>
    <row r="1058" spans="3:15"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</row>
    <row r="1059" spans="3:15"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</row>
    <row r="1060" spans="3:15"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</row>
    <row r="1061" spans="3:15"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</row>
    <row r="1062" spans="3:15"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</row>
    <row r="1063" spans="3:15"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</row>
    <row r="1064" spans="3:15"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</row>
    <row r="1065" spans="3:15"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</row>
    <row r="1066" spans="3:15"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</row>
    <row r="1067" spans="3:15"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</row>
    <row r="1068" spans="3:15"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</row>
    <row r="1069" spans="3:15"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</row>
    <row r="1070" spans="3:15"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</row>
    <row r="1071" spans="3:15"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</row>
    <row r="1072" spans="3:15"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</row>
    <row r="1073" spans="3:15"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</row>
    <row r="1074" spans="3:15"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</row>
    <row r="1075" spans="3:15"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</row>
    <row r="1076" spans="3:15"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</row>
    <row r="1077" spans="3:15"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</row>
    <row r="1078" spans="3:15"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</row>
    <row r="1079" spans="3:15"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</row>
    <row r="1080" spans="3:15"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</row>
    <row r="1081" spans="3:15"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</row>
    <row r="1082" spans="3:15"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</row>
    <row r="1083" spans="3:15"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</row>
    <row r="1084" spans="3:15"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</row>
    <row r="1085" spans="3:15"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</row>
    <row r="1086" spans="3:15"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</row>
    <row r="1087" spans="3:15"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</row>
    <row r="1088" spans="3:15"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</row>
    <row r="1089" spans="3:15"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</row>
    <row r="1090" spans="3:15"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</row>
    <row r="1091" spans="3:15"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</row>
    <row r="1092" spans="3:15"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</row>
    <row r="1093" spans="3:15"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</row>
    <row r="1094" spans="3:15"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</row>
    <row r="1095" spans="3:15"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</row>
    <row r="1096" spans="3:15"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</row>
    <row r="1097" spans="3:15"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</row>
    <row r="1098" spans="3:15"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</row>
    <row r="1099" spans="3:15"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</row>
    <row r="1100" spans="3:15"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</row>
    <row r="1101" spans="3:15"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</row>
    <row r="1102" spans="3:15"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</row>
    <row r="1103" spans="3:15"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</row>
    <row r="1104" spans="3:15"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</row>
    <row r="1105" spans="3:15"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</row>
    <row r="1106" spans="3:15"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</row>
    <row r="1107" spans="3:15"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</row>
    <row r="1108" spans="3:15"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</row>
    <row r="1109" spans="3:15"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</row>
    <row r="1110" spans="3:15"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</row>
    <row r="1111" spans="3:15"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</row>
    <row r="1112" spans="3:15"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</row>
    <row r="1113" spans="3:15"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</row>
    <row r="1114" spans="3:15"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</row>
    <row r="1115" spans="3:15"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</row>
    <row r="1116" spans="3:15"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</row>
    <row r="1117" spans="3:15"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</row>
    <row r="1118" spans="3:15"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</row>
    <row r="1119" spans="3:15"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</row>
    <row r="1120" spans="3:15"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</row>
    <row r="1121" spans="3:15"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</row>
    <row r="1122" spans="3:15"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</row>
    <row r="1123" spans="3:15"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</row>
    <row r="1124" spans="3:15"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</row>
    <row r="1125" spans="3:15"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</row>
    <row r="1126" spans="3:15"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</row>
    <row r="1127" spans="3:15"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</row>
    <row r="1128" spans="3:15"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</row>
    <row r="1129" spans="3:15"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</row>
    <row r="1130" spans="3:15"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</row>
    <row r="1131" spans="3:15"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</row>
    <row r="1132" spans="3:15"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</row>
    <row r="1133" spans="3:15"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</row>
    <row r="1134" spans="3:15"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</row>
    <row r="1135" spans="3:15"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</row>
    <row r="1136" spans="3:15"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</row>
    <row r="1137" spans="3:15"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</row>
    <row r="1138" spans="3:15"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</row>
    <row r="1139" spans="3:15"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</row>
    <row r="1140" spans="3:15"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</row>
    <row r="1141" spans="3:15"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</row>
    <row r="1142" spans="3:15"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</row>
    <row r="1143" spans="3:15"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</row>
    <row r="1144" spans="3:15"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</row>
    <row r="1145" spans="3:15"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</row>
    <row r="1146" spans="3:15"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</row>
    <row r="1147" spans="3:15"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</row>
    <row r="1148" spans="3:15"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</row>
    <row r="1149" spans="3:15"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</row>
    <row r="1150" spans="3:15"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</row>
    <row r="1151" spans="3:15"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</row>
    <row r="1152" spans="3:15"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</row>
    <row r="1153" spans="3:15"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</row>
    <row r="1154" spans="3:15"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</row>
    <row r="1155" spans="3:15"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</row>
    <row r="1156" spans="3:15"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</row>
    <row r="1157" spans="3:15"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</row>
    <row r="1158" spans="3:15"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</row>
    <row r="1159" spans="3:15"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</row>
    <row r="1160" spans="3:15"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</row>
    <row r="1161" spans="3:15"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</row>
    <row r="1162" spans="3:15"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</row>
    <row r="1163" spans="3:15"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</row>
    <row r="1164" spans="3:15"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</row>
    <row r="1165" spans="3:15"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</row>
    <row r="1166" spans="3:15"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</row>
    <row r="1167" spans="3:15"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</row>
    <row r="1168" spans="3:15"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</row>
    <row r="1169" spans="3:15"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</row>
    <row r="1170" spans="3:15">
      <c r="C1170" s="29"/>
      <c r="D1170" s="29"/>
      <c r="E1170" s="29"/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</row>
    <row r="1171" spans="3:15"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</row>
    <row r="1172" spans="3:15"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</row>
    <row r="1173" spans="3:15"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</row>
    <row r="1174" spans="3:15"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</row>
    <row r="1175" spans="3:15"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</row>
    <row r="1176" spans="3:15"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</row>
    <row r="1177" spans="3:15"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</row>
    <row r="1178" spans="3:15"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</row>
    <row r="1179" spans="3:15"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</row>
    <row r="1180" spans="3:15"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</row>
    <row r="1181" spans="3:15"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</row>
    <row r="1182" spans="3:15"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</row>
    <row r="1183" spans="3:15"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</row>
    <row r="1184" spans="3:15"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</row>
    <row r="1185" spans="3:15"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</row>
    <row r="1186" spans="3:15"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</row>
    <row r="1187" spans="3:15"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</row>
    <row r="1188" spans="3:15"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</row>
    <row r="1189" spans="3:15"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</row>
    <row r="1190" spans="3:15"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</row>
    <row r="1191" spans="3:15"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</row>
    <row r="1192" spans="3:15"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</row>
    <row r="1193" spans="3:15"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</row>
    <row r="1194" spans="3:15"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</row>
    <row r="1195" spans="3:15"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</row>
    <row r="1196" spans="3:15"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</row>
    <row r="1197" spans="3:15"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</row>
    <row r="1198" spans="3:15"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</row>
    <row r="1199" spans="3:15"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</row>
    <row r="1200" spans="3:15"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</row>
    <row r="1201" spans="3:15"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</row>
    <row r="1202" spans="3:15"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</row>
    <row r="1203" spans="3:15"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</row>
    <row r="1204" spans="3:15"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</row>
    <row r="1205" spans="3:15"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</row>
    <row r="1206" spans="3:15"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</row>
    <row r="1207" spans="3:15"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</row>
    <row r="1208" spans="3:15"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</row>
    <row r="1209" spans="3:15"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</row>
    <row r="1210" spans="3:15"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</row>
    <row r="1211" spans="3:15"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</row>
    <row r="1212" spans="3:15"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</row>
    <row r="1213" spans="3:15"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</row>
    <row r="1214" spans="3:15"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</row>
    <row r="1215" spans="3:15"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</row>
    <row r="1216" spans="3:15"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</row>
    <row r="1217" spans="3:15"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</row>
    <row r="1218" spans="3:15"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</row>
    <row r="1219" spans="3:15"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</row>
    <row r="1220" spans="3:15"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</row>
    <row r="1221" spans="3:15"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</row>
    <row r="1222" spans="3:15"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</row>
    <row r="1223" spans="3:15"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</row>
    <row r="1224" spans="3:15"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</row>
    <row r="1225" spans="3:15"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</row>
    <row r="1226" spans="3:15"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</row>
    <row r="1227" spans="3:15"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</row>
    <row r="1228" spans="3:15"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</row>
    <row r="1229" spans="3:15"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</row>
    <row r="1230" spans="3:15"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</row>
    <row r="1231" spans="3:15"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</row>
    <row r="1232" spans="3:15"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</row>
    <row r="1233" spans="3:15"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</row>
    <row r="1234" spans="3:15"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</row>
    <row r="1235" spans="3:15"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</row>
    <row r="1236" spans="3:15"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</row>
    <row r="1237" spans="3:15">
      <c r="C1237" s="29"/>
      <c r="D1237" s="29"/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</row>
    <row r="1238" spans="3:15"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</row>
    <row r="1239" spans="3:15"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</row>
    <row r="1240" spans="3:15"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</row>
    <row r="1241" spans="3:15"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</row>
    <row r="1242" spans="3:15"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</row>
    <row r="1243" spans="3:15"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</row>
    <row r="1244" spans="3:15"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</row>
    <row r="1245" spans="3:15"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</row>
    <row r="1246" spans="3:15"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</row>
    <row r="1247" spans="3:15"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</row>
    <row r="1248" spans="3:15"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</row>
    <row r="1249" spans="3:15"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</row>
    <row r="1250" spans="3:15"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</row>
    <row r="1251" spans="3:15"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</row>
    <row r="1252" spans="3:15"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</row>
    <row r="1253" spans="3:15"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</row>
    <row r="1254" spans="3:15"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</row>
    <row r="1255" spans="3:15"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</row>
    <row r="1256" spans="3:15"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</row>
    <row r="1257" spans="3:15"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</row>
    <row r="1258" spans="3:15"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</row>
    <row r="1259" spans="3:15"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</row>
    <row r="1260" spans="3:15"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</row>
    <row r="1261" spans="3:15"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</row>
    <row r="1262" spans="3:15"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</row>
    <row r="1263" spans="3:15"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</row>
    <row r="1264" spans="3:15"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</row>
    <row r="1265" spans="3:15"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</row>
    <row r="1266" spans="3:15"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</row>
    <row r="1267" spans="3:15"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</row>
    <row r="1268" spans="3:15"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</row>
    <row r="1269" spans="3:15">
      <c r="C1269" s="29"/>
      <c r="D1269" s="29"/>
      <c r="E1269" s="29"/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</row>
    <row r="1270" spans="3:15"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</row>
    <row r="1271" spans="3:15"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</row>
    <row r="1272" spans="3:15"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</row>
    <row r="1273" spans="3:15">
      <c r="C1273" s="29"/>
      <c r="D1273" s="29"/>
      <c r="E1273" s="29"/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</row>
    <row r="1274" spans="3:15"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</row>
    <row r="1275" spans="3:15"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</row>
    <row r="1276" spans="3:15"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</row>
    <row r="1277" spans="3:15">
      <c r="C1277" s="29"/>
      <c r="D1277" s="29"/>
      <c r="E1277" s="29"/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</row>
    <row r="1278" spans="3:15">
      <c r="C1278" s="29"/>
      <c r="D1278" s="29"/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</row>
    <row r="1279" spans="3:15"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</row>
    <row r="1280" spans="3:15"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</row>
    <row r="1281" spans="3:15"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</row>
    <row r="1282" spans="3:15"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</row>
    <row r="1283" spans="3:15"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</row>
    <row r="1284" spans="3:15"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</row>
    <row r="1285" spans="3:15">
      <c r="C1285" s="29"/>
      <c r="D1285" s="29"/>
      <c r="E1285" s="29"/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</row>
    <row r="1286" spans="3:15">
      <c r="C1286" s="29"/>
      <c r="D1286" s="29"/>
      <c r="E1286" s="29"/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</row>
    <row r="1287" spans="3:15"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</row>
    <row r="1288" spans="3:15"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</row>
    <row r="1289" spans="3:15"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</row>
    <row r="1290" spans="3:15">
      <c r="C1290" s="29"/>
      <c r="D1290" s="29"/>
      <c r="E1290" s="29"/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</row>
    <row r="1291" spans="3:15">
      <c r="C1291" s="29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</row>
    <row r="1292" spans="3:15"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</row>
    <row r="1293" spans="3:15"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</row>
    <row r="1294" spans="3:15"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</row>
    <row r="1295" spans="3:15">
      <c r="C1295" s="29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</row>
    <row r="1296" spans="3:15"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</row>
    <row r="1297" spans="3:15">
      <c r="C1297" s="29"/>
      <c r="D1297" s="29"/>
      <c r="E1297" s="29"/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</row>
    <row r="1298" spans="3:15"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</row>
    <row r="1299" spans="3:15">
      <c r="C1299" s="29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</row>
    <row r="1300" spans="3:15"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</row>
    <row r="1301" spans="3:15"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</row>
    <row r="1302" spans="3:15"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</row>
    <row r="1303" spans="3:15"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</row>
    <row r="1304" spans="3:15"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</row>
    <row r="1305" spans="3:15"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</row>
    <row r="1306" spans="3:15"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</row>
    <row r="1307" spans="3:15">
      <c r="C1307" s="29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</row>
    <row r="1308" spans="3:15"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</row>
    <row r="1309" spans="3:15"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</row>
    <row r="1310" spans="3:15"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</row>
    <row r="1311" spans="3:15"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</row>
    <row r="1312" spans="3:15"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</row>
    <row r="1313" spans="3:15"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</row>
    <row r="1314" spans="3:15"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</row>
    <row r="1315" spans="3:15"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</row>
    <row r="1316" spans="3:15"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</row>
    <row r="1317" spans="3:15"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</row>
    <row r="1318" spans="3:15">
      <c r="C1318" s="29"/>
      <c r="D1318" s="29"/>
      <c r="E1318" s="29"/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</row>
    <row r="1319" spans="3:15"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</row>
    <row r="1320" spans="3:15"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</row>
    <row r="1321" spans="3:15"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</row>
    <row r="1322" spans="3:15">
      <c r="C1322" s="29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</row>
    <row r="1323" spans="3:15"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</row>
    <row r="1324" spans="3:15">
      <c r="C1324" s="29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</row>
    <row r="1325" spans="3:15"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</row>
    <row r="1326" spans="3:15"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</row>
    <row r="1327" spans="3:15"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</row>
    <row r="1328" spans="3:15"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</row>
    <row r="1329" spans="3:15"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</row>
    <row r="1330" spans="3:15"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</row>
    <row r="1331" spans="3:15">
      <c r="C1331" s="29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</row>
    <row r="1332" spans="3:15"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</row>
    <row r="1333" spans="3:15"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</row>
    <row r="1334" spans="3:15"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</row>
    <row r="1335" spans="3:15"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</row>
    <row r="1336" spans="3:15"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</row>
    <row r="1337" spans="3:15">
      <c r="C1337" s="29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</row>
    <row r="1338" spans="3:15">
      <c r="C1338" s="29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</row>
    <row r="1339" spans="3:15"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</row>
    <row r="1340" spans="3:15"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</row>
    <row r="1341" spans="3:15">
      <c r="C1341" s="29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</row>
    <row r="1342" spans="3:15">
      <c r="C1342" s="29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</row>
    <row r="1343" spans="3:15"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</row>
    <row r="1344" spans="3:15"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</row>
    <row r="1345" spans="3:15"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</row>
    <row r="1346" spans="3:15"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</row>
    <row r="1347" spans="3:15"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</row>
    <row r="1348" spans="3:15">
      <c r="C1348" s="29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</row>
    <row r="1349" spans="3:15">
      <c r="C1349" s="29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</row>
    <row r="1350" spans="3:15"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</row>
    <row r="1351" spans="3:15">
      <c r="C1351" s="29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</row>
    <row r="1352" spans="3:15"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</row>
    <row r="1353" spans="3:15"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</row>
    <row r="1354" spans="3:15">
      <c r="C1354" s="29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</row>
    <row r="1355" spans="3:15"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</row>
    <row r="1356" spans="3:15"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</row>
    <row r="1357" spans="3:15"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</row>
    <row r="1358" spans="3:15"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</row>
    <row r="1359" spans="3:15"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</row>
    <row r="1360" spans="3:15"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</row>
    <row r="1361" spans="3:15">
      <c r="C1361" s="29"/>
      <c r="D1361" s="29"/>
      <c r="E1361" s="29"/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</row>
    <row r="1362" spans="3:15">
      <c r="C1362" s="29"/>
      <c r="D1362" s="29"/>
      <c r="E1362" s="29"/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</row>
    <row r="1363" spans="3:15"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</row>
    <row r="1364" spans="3:15"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</row>
    <row r="1365" spans="3:15">
      <c r="C1365" s="29"/>
      <c r="D1365" s="29"/>
      <c r="E1365" s="29"/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</row>
    <row r="1366" spans="3:15"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</row>
    <row r="1367" spans="3:15"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</row>
    <row r="1368" spans="3:15"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</row>
    <row r="1369" spans="3:15">
      <c r="C1369" s="29"/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</row>
    <row r="1370" spans="3:15">
      <c r="C1370" s="29"/>
      <c r="D1370" s="29"/>
      <c r="E1370" s="29"/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</row>
    <row r="1371" spans="3:15">
      <c r="C1371" s="29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</row>
    <row r="1372" spans="3:15">
      <c r="C1372" s="29"/>
      <c r="D1372" s="29"/>
      <c r="E1372" s="29"/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</row>
    <row r="1373" spans="3:15"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</row>
    <row r="1374" spans="3:15"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</row>
    <row r="1375" spans="3:15"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</row>
    <row r="1376" spans="3:15">
      <c r="C1376" s="29"/>
      <c r="D1376" s="29"/>
      <c r="E1376" s="29"/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</row>
    <row r="1377" spans="3:15"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</row>
    <row r="1378" spans="3:15">
      <c r="C1378" s="29"/>
      <c r="D1378" s="29"/>
      <c r="E1378" s="29"/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</row>
    <row r="1379" spans="3:15">
      <c r="C1379" s="29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</row>
    <row r="1380" spans="3:15">
      <c r="C1380" s="29"/>
      <c r="D1380" s="29"/>
      <c r="E1380" s="29"/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</row>
    <row r="1381" spans="3:15">
      <c r="C1381" s="29"/>
      <c r="D1381" s="29"/>
      <c r="E1381" s="29"/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</row>
    <row r="1382" spans="3:15"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</row>
    <row r="1383" spans="3:15">
      <c r="C1383" s="29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</row>
    <row r="1384" spans="3:15"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</row>
    <row r="1385" spans="3:15">
      <c r="C1385" s="29"/>
      <c r="D1385" s="29"/>
      <c r="E1385" s="29"/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</row>
    <row r="1386" spans="3:15"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</row>
    <row r="1387" spans="3:15">
      <c r="C1387" s="29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</row>
    <row r="1388" spans="3:15">
      <c r="C1388" s="29"/>
      <c r="D1388" s="29"/>
      <c r="E1388" s="29"/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</row>
    <row r="1389" spans="3:15">
      <c r="C1389" s="29"/>
      <c r="D1389" s="29"/>
      <c r="E1389" s="29"/>
      <c r="F1389" s="29"/>
      <c r="G1389" s="29"/>
      <c r="H1389" s="29"/>
      <c r="I1389" s="29"/>
      <c r="J1389" s="29"/>
      <c r="K1389" s="29"/>
      <c r="L1389" s="29"/>
      <c r="M1389" s="29"/>
      <c r="N1389" s="29"/>
      <c r="O1389" s="29"/>
    </row>
    <row r="1390" spans="3:15"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</row>
    <row r="1391" spans="3:15"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</row>
    <row r="1392" spans="3:15">
      <c r="C1392" s="29"/>
      <c r="D1392" s="29"/>
      <c r="E1392" s="29"/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</row>
    <row r="1393" spans="3:15"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</row>
    <row r="1394" spans="3:15">
      <c r="C1394" s="29"/>
      <c r="D1394" s="29"/>
      <c r="E1394" s="29"/>
      <c r="F1394" s="29"/>
      <c r="G1394" s="29"/>
      <c r="H1394" s="29"/>
      <c r="I1394" s="29"/>
      <c r="J1394" s="29"/>
      <c r="K1394" s="29"/>
      <c r="L1394" s="29"/>
      <c r="M1394" s="29"/>
      <c r="N1394" s="29"/>
      <c r="O1394" s="29"/>
    </row>
    <row r="1395" spans="3:15">
      <c r="C1395" s="29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</row>
    <row r="1396" spans="3:15">
      <c r="C1396" s="29"/>
      <c r="D1396" s="29"/>
      <c r="E1396" s="29"/>
      <c r="F1396" s="29"/>
      <c r="G1396" s="29"/>
      <c r="H1396" s="29"/>
      <c r="I1396" s="29"/>
      <c r="J1396" s="29"/>
      <c r="K1396" s="29"/>
      <c r="L1396" s="29"/>
      <c r="M1396" s="29"/>
      <c r="N1396" s="29"/>
      <c r="O1396" s="29"/>
    </row>
    <row r="1397" spans="3:15">
      <c r="C1397" s="29"/>
      <c r="D1397" s="29"/>
      <c r="E1397" s="29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</row>
    <row r="1398" spans="3:15">
      <c r="C1398" s="29"/>
      <c r="D1398" s="29"/>
      <c r="E1398" s="29"/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</row>
    <row r="1399" spans="3:15"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</row>
    <row r="1400" spans="3:15"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</row>
    <row r="1401" spans="3:15">
      <c r="C1401" s="29"/>
      <c r="D1401" s="29"/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</row>
    <row r="1402" spans="3:15">
      <c r="C1402" s="29"/>
      <c r="D1402" s="29"/>
      <c r="E1402" s="29"/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</row>
    <row r="1403" spans="3:15">
      <c r="C1403" s="29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</row>
    <row r="1404" spans="3:15"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</row>
    <row r="1405" spans="3:15">
      <c r="C1405" s="29"/>
      <c r="D1405" s="29"/>
      <c r="E1405" s="29"/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</row>
    <row r="1406" spans="3:15">
      <c r="C1406" s="29"/>
      <c r="D1406" s="29"/>
      <c r="E1406" s="29"/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</row>
    <row r="1407" spans="3:15"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</row>
    <row r="1408" spans="3:15"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</row>
    <row r="1409" spans="3:15">
      <c r="C1409" s="29"/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</row>
    <row r="1410" spans="3:15">
      <c r="C1410" s="29"/>
      <c r="D1410" s="29"/>
      <c r="E1410" s="29"/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</row>
    <row r="1411" spans="3:15">
      <c r="C1411" s="29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</row>
    <row r="1412" spans="3:15">
      <c r="C1412" s="29"/>
      <c r="D1412" s="29"/>
      <c r="E1412" s="29"/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</row>
    <row r="1413" spans="3:15">
      <c r="C1413" s="29"/>
      <c r="D1413" s="29"/>
      <c r="E1413" s="29"/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</row>
    <row r="1414" spans="3:15"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</row>
    <row r="1415" spans="3:15"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</row>
    <row r="1416" spans="3:15">
      <c r="C1416" s="29"/>
      <c r="D1416" s="29"/>
      <c r="E1416" s="29"/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</row>
    <row r="1417" spans="3:15"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</row>
    <row r="1418" spans="3:15">
      <c r="C1418" s="29"/>
      <c r="D1418" s="29"/>
      <c r="E1418" s="29"/>
      <c r="F1418" s="29"/>
      <c r="G1418" s="29"/>
      <c r="H1418" s="29"/>
      <c r="I1418" s="29"/>
      <c r="J1418" s="29"/>
      <c r="K1418" s="29"/>
      <c r="L1418" s="29"/>
      <c r="M1418" s="29"/>
      <c r="N1418" s="29"/>
      <c r="O1418" s="29"/>
    </row>
    <row r="1419" spans="3:15"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</row>
    <row r="1420" spans="3:15">
      <c r="C1420" s="29"/>
      <c r="D1420" s="29"/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</row>
    <row r="1421" spans="3:15">
      <c r="C1421" s="29"/>
      <c r="D1421" s="29"/>
      <c r="E1421" s="29"/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</row>
    <row r="1422" spans="3:15">
      <c r="C1422" s="29"/>
      <c r="D1422" s="29"/>
      <c r="E1422" s="29"/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</row>
    <row r="1423" spans="3:15"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</row>
    <row r="1424" spans="3:15">
      <c r="C1424" s="29"/>
      <c r="D1424" s="29"/>
      <c r="E1424" s="29"/>
      <c r="F1424" s="29"/>
      <c r="G1424" s="29"/>
      <c r="H1424" s="29"/>
      <c r="I1424" s="29"/>
      <c r="J1424" s="29"/>
      <c r="K1424" s="29"/>
      <c r="L1424" s="29"/>
      <c r="M1424" s="29"/>
      <c r="N1424" s="29"/>
      <c r="O1424" s="29"/>
    </row>
    <row r="1425" spans="3:15">
      <c r="C1425" s="29"/>
      <c r="D1425" s="29"/>
      <c r="E1425" s="29"/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</row>
    <row r="1426" spans="3:15">
      <c r="C1426" s="29"/>
      <c r="D1426" s="29"/>
      <c r="E1426" s="29"/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</row>
    <row r="1427" spans="3:15">
      <c r="C1427" s="29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</row>
    <row r="1428" spans="3:15">
      <c r="C1428" s="29"/>
      <c r="D1428" s="29"/>
      <c r="E1428" s="29"/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</row>
    <row r="1429" spans="3:15">
      <c r="C1429" s="29"/>
      <c r="D1429" s="29"/>
      <c r="E1429" s="29"/>
      <c r="F1429" s="29"/>
      <c r="G1429" s="29"/>
      <c r="H1429" s="29"/>
      <c r="I1429" s="29"/>
      <c r="J1429" s="29"/>
      <c r="K1429" s="29"/>
      <c r="L1429" s="29"/>
      <c r="M1429" s="29"/>
      <c r="N1429" s="29"/>
      <c r="O1429" s="29"/>
    </row>
    <row r="1430" spans="3:15">
      <c r="C1430" s="29"/>
      <c r="D1430" s="29"/>
      <c r="E1430" s="29"/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</row>
    <row r="1431" spans="3:15"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</row>
    <row r="1432" spans="3:15">
      <c r="C1432" s="29"/>
      <c r="D1432" s="29"/>
      <c r="E1432" s="29"/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</row>
    <row r="1433" spans="3:15">
      <c r="C1433" s="29"/>
      <c r="D1433" s="2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</row>
    <row r="1434" spans="3:15">
      <c r="C1434" s="29"/>
      <c r="D1434" s="29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</row>
    <row r="1435" spans="3:15">
      <c r="C1435" s="29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</row>
    <row r="1436" spans="3:15">
      <c r="C1436" s="29"/>
      <c r="D1436" s="29"/>
      <c r="E1436" s="29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</row>
    <row r="1437" spans="3:15">
      <c r="C1437" s="29"/>
      <c r="D1437" s="29"/>
      <c r="E1437" s="29"/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</row>
    <row r="1438" spans="3:15">
      <c r="C1438" s="29"/>
      <c r="D1438" s="29"/>
      <c r="E1438" s="29"/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</row>
    <row r="1439" spans="3:15">
      <c r="C1439" s="29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</row>
    <row r="1440" spans="3:15"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</row>
    <row r="1441" spans="3:15">
      <c r="C1441" s="29"/>
      <c r="D1441" s="29"/>
      <c r="E1441" s="29"/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</row>
    <row r="1442" spans="3:15">
      <c r="C1442" s="29"/>
      <c r="D1442" s="29"/>
      <c r="E1442" s="29"/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</row>
    <row r="1443" spans="3:15">
      <c r="C1443" s="29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</row>
    <row r="1444" spans="3:15">
      <c r="C1444" s="29"/>
      <c r="D1444" s="29"/>
      <c r="E1444" s="29"/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</row>
    <row r="1445" spans="3:15">
      <c r="C1445" s="29"/>
      <c r="D1445" s="29"/>
      <c r="E1445" s="29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</row>
    <row r="1446" spans="3:15">
      <c r="C1446" s="29"/>
      <c r="D1446" s="29"/>
      <c r="E1446" s="29"/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</row>
    <row r="1447" spans="3:15"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</row>
    <row r="1448" spans="3:15">
      <c r="C1448" s="29"/>
      <c r="D1448" s="29"/>
      <c r="E1448" s="29"/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</row>
    <row r="1449" spans="3:15">
      <c r="C1449" s="29"/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</row>
    <row r="1450" spans="3:15">
      <c r="C1450" s="29"/>
      <c r="D1450" s="29"/>
      <c r="E1450" s="29"/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</row>
    <row r="1451" spans="3:15"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</row>
    <row r="1452" spans="3:15">
      <c r="C1452" s="29"/>
      <c r="D1452" s="29"/>
      <c r="E1452" s="29"/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</row>
    <row r="1453" spans="3:15">
      <c r="C1453" s="29"/>
      <c r="D1453" s="29"/>
      <c r="E1453" s="29"/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</row>
    <row r="1454" spans="3:15"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</row>
    <row r="1455" spans="3:15"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</row>
    <row r="1456" spans="3:15">
      <c r="C1456" s="29"/>
      <c r="D1456" s="29"/>
      <c r="E1456" s="29"/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</row>
    <row r="1457" spans="3:15"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</row>
    <row r="1458" spans="3:15">
      <c r="C1458" s="29"/>
      <c r="D1458" s="29"/>
      <c r="E1458" s="29"/>
      <c r="F1458" s="29"/>
      <c r="G1458" s="29"/>
      <c r="H1458" s="29"/>
      <c r="I1458" s="29"/>
      <c r="J1458" s="29"/>
      <c r="K1458" s="29"/>
      <c r="L1458" s="29"/>
      <c r="M1458" s="29"/>
      <c r="N1458" s="29"/>
      <c r="O1458" s="29"/>
    </row>
    <row r="1459" spans="3:15">
      <c r="C1459" s="29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</row>
    <row r="1460" spans="3:15"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</row>
    <row r="1461" spans="3:15"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</row>
    <row r="1462" spans="3:15">
      <c r="C1462" s="29"/>
      <c r="D1462" s="29"/>
      <c r="E1462" s="29"/>
      <c r="F1462" s="29"/>
      <c r="G1462" s="29"/>
      <c r="H1462" s="29"/>
      <c r="I1462" s="29"/>
      <c r="J1462" s="29"/>
      <c r="K1462" s="29"/>
      <c r="L1462" s="29"/>
      <c r="M1462" s="29"/>
      <c r="N1462" s="29"/>
      <c r="O1462" s="29"/>
    </row>
    <row r="1463" spans="3:15">
      <c r="C1463" s="29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</row>
    <row r="1464" spans="3:15">
      <c r="C1464" s="29"/>
      <c r="D1464" s="29"/>
      <c r="E1464" s="29"/>
      <c r="F1464" s="29"/>
      <c r="G1464" s="29"/>
      <c r="H1464" s="29"/>
      <c r="I1464" s="29"/>
      <c r="J1464" s="29"/>
      <c r="K1464" s="29"/>
      <c r="L1464" s="29"/>
      <c r="M1464" s="29"/>
      <c r="N1464" s="29"/>
      <c r="O1464" s="29"/>
    </row>
    <row r="1465" spans="3:15">
      <c r="C1465" s="29"/>
      <c r="D1465" s="29"/>
      <c r="E1465" s="29"/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</row>
    <row r="1466" spans="3:15">
      <c r="C1466" s="29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</row>
    <row r="1467" spans="3:15">
      <c r="C1467" s="29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</row>
    <row r="1468" spans="3:15">
      <c r="C1468" s="29"/>
      <c r="D1468" s="29"/>
      <c r="E1468" s="29"/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</row>
    <row r="1469" spans="3:15">
      <c r="C1469" s="29"/>
      <c r="D1469" s="29"/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</row>
    <row r="1470" spans="3:15"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</row>
    <row r="1471" spans="3:15">
      <c r="C1471" s="29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</row>
    <row r="1472" spans="3:15">
      <c r="C1472" s="29"/>
      <c r="D1472" s="29"/>
      <c r="E1472" s="29"/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</row>
    <row r="1473" spans="3:15">
      <c r="C1473" s="29"/>
      <c r="D1473" s="29"/>
      <c r="E1473" s="29"/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</row>
    <row r="1474" spans="3:15">
      <c r="C1474" s="29"/>
      <c r="D1474" s="29"/>
      <c r="E1474" s="29"/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</row>
    <row r="1475" spans="3:15"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</row>
    <row r="1476" spans="3:15">
      <c r="C1476" s="29"/>
      <c r="D1476" s="29"/>
      <c r="E1476" s="29"/>
      <c r="F1476" s="29"/>
      <c r="G1476" s="29"/>
      <c r="H1476" s="29"/>
      <c r="I1476" s="29"/>
      <c r="J1476" s="29"/>
      <c r="K1476" s="29"/>
      <c r="L1476" s="29"/>
      <c r="M1476" s="29"/>
      <c r="N1476" s="29"/>
      <c r="O1476" s="29"/>
    </row>
    <row r="1477" spans="3:15">
      <c r="C1477" s="29"/>
      <c r="D1477" s="29"/>
      <c r="E1477" s="29"/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</row>
    <row r="1478" spans="3:15">
      <c r="C1478" s="29"/>
      <c r="D1478" s="29"/>
      <c r="E1478" s="29"/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</row>
    <row r="1479" spans="3:15"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</row>
    <row r="1480" spans="3:15">
      <c r="C1480" s="29"/>
      <c r="D1480" s="29"/>
      <c r="E1480" s="29"/>
      <c r="F1480" s="29"/>
      <c r="G1480" s="29"/>
      <c r="H1480" s="29"/>
      <c r="I1480" s="29"/>
      <c r="J1480" s="29"/>
      <c r="K1480" s="29"/>
      <c r="L1480" s="29"/>
      <c r="M1480" s="29"/>
      <c r="N1480" s="29"/>
      <c r="O1480" s="29"/>
    </row>
    <row r="1481" spans="3:15">
      <c r="C1481" s="29"/>
      <c r="D1481" s="29"/>
      <c r="E1481" s="29"/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</row>
    <row r="1482" spans="3:15"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</row>
    <row r="1483" spans="3:15"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</row>
    <row r="1484" spans="3:15">
      <c r="C1484" s="29"/>
      <c r="D1484" s="29"/>
      <c r="E1484" s="29"/>
      <c r="F1484" s="29"/>
      <c r="G1484" s="29"/>
      <c r="H1484" s="29"/>
      <c r="I1484" s="29"/>
      <c r="J1484" s="29"/>
      <c r="K1484" s="29"/>
      <c r="L1484" s="29"/>
      <c r="M1484" s="29"/>
      <c r="N1484" s="29"/>
      <c r="O1484" s="29"/>
    </row>
    <row r="1485" spans="3:15">
      <c r="C1485" s="29"/>
      <c r="D1485" s="29"/>
      <c r="E1485" s="29"/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</row>
    <row r="1486" spans="3:15">
      <c r="C1486" s="29"/>
      <c r="D1486" s="29"/>
      <c r="E1486" s="29"/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</row>
    <row r="1487" spans="3:15">
      <c r="C1487" s="29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</row>
    <row r="1488" spans="3:15">
      <c r="C1488" s="29"/>
      <c r="D1488" s="29"/>
      <c r="E1488" s="29"/>
      <c r="F1488" s="29"/>
      <c r="G1488" s="29"/>
      <c r="H1488" s="29"/>
      <c r="I1488" s="29"/>
      <c r="J1488" s="29"/>
      <c r="K1488" s="29"/>
      <c r="L1488" s="29"/>
      <c r="M1488" s="29"/>
      <c r="N1488" s="29"/>
      <c r="O1488" s="29"/>
    </row>
    <row r="1489" spans="3:15">
      <c r="C1489" s="29"/>
      <c r="D1489" s="29"/>
      <c r="E1489" s="29"/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</row>
    <row r="1490" spans="3:15">
      <c r="C1490" s="29"/>
      <c r="D1490" s="29"/>
      <c r="E1490" s="29"/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</row>
    <row r="1491" spans="3:15"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</row>
    <row r="1492" spans="3:15"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</row>
    <row r="1493" spans="3:15"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</row>
    <row r="1494" spans="3:15">
      <c r="C1494" s="29"/>
      <c r="D1494" s="29"/>
      <c r="E1494" s="29"/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</row>
    <row r="1495" spans="3:15"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</row>
    <row r="1496" spans="3:15"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</row>
    <row r="1497" spans="3:15">
      <c r="C1497" s="29"/>
      <c r="D1497" s="29"/>
      <c r="E1497" s="29"/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</row>
    <row r="1498" spans="3:15">
      <c r="C1498" s="29"/>
      <c r="D1498" s="29"/>
      <c r="E1498" s="29"/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</row>
    <row r="1499" spans="3:15">
      <c r="C1499" s="29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</row>
    <row r="1500" spans="3:15">
      <c r="C1500" s="29"/>
      <c r="D1500" s="29"/>
      <c r="E1500" s="29"/>
      <c r="F1500" s="29"/>
      <c r="G1500" s="29"/>
      <c r="H1500" s="29"/>
      <c r="I1500" s="29"/>
      <c r="J1500" s="29"/>
      <c r="K1500" s="29"/>
      <c r="L1500" s="29"/>
      <c r="M1500" s="29"/>
      <c r="N1500" s="29"/>
      <c r="O1500" s="29"/>
    </row>
    <row r="1501" spans="3:15">
      <c r="C1501" s="29"/>
      <c r="D1501" s="29"/>
      <c r="E1501" s="29"/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</row>
    <row r="1502" spans="3:15">
      <c r="C1502" s="29"/>
      <c r="D1502" s="29"/>
      <c r="E1502" s="29"/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</row>
    <row r="1503" spans="3:15">
      <c r="C1503" s="29"/>
      <c r="D1503" s="29"/>
      <c r="E1503" s="29"/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</row>
    <row r="1504" spans="3:15"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</row>
    <row r="1505" spans="3:15">
      <c r="C1505" s="29"/>
      <c r="D1505" s="29"/>
      <c r="E1505" s="29"/>
      <c r="F1505" s="29"/>
      <c r="G1505" s="29"/>
      <c r="H1505" s="29"/>
      <c r="I1505" s="29"/>
      <c r="J1505" s="29"/>
      <c r="K1505" s="29"/>
      <c r="L1505" s="29"/>
      <c r="M1505" s="29"/>
      <c r="N1505" s="29"/>
      <c r="O1505" s="29"/>
    </row>
    <row r="1506" spans="3:15"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</row>
    <row r="1507" spans="3:15"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</row>
    <row r="1508" spans="3:15"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</row>
    <row r="1509" spans="3:15">
      <c r="C1509" s="29"/>
      <c r="D1509" s="29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</row>
    <row r="1510" spans="3:15"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</row>
    <row r="1511" spans="3:15"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</row>
    <row r="1512" spans="3:15">
      <c r="C1512" s="29"/>
      <c r="D1512" s="29"/>
      <c r="E1512" s="29"/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</row>
    <row r="1513" spans="3:15">
      <c r="C1513" s="29"/>
      <c r="D1513" s="29"/>
      <c r="E1513" s="29"/>
      <c r="F1513" s="29"/>
      <c r="G1513" s="29"/>
      <c r="H1513" s="29"/>
      <c r="I1513" s="29"/>
      <c r="J1513" s="29"/>
      <c r="K1513" s="29"/>
      <c r="L1513" s="29"/>
      <c r="M1513" s="29"/>
      <c r="N1513" s="29"/>
      <c r="O1513" s="29"/>
    </row>
    <row r="1514" spans="3:15">
      <c r="C1514" s="29"/>
      <c r="D1514" s="29"/>
      <c r="E1514" s="29"/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</row>
    <row r="1515" spans="3:15">
      <c r="C1515" s="29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</row>
    <row r="1516" spans="3:15">
      <c r="C1516" s="29"/>
      <c r="D1516" s="29"/>
      <c r="E1516" s="29"/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</row>
    <row r="1517" spans="3:15">
      <c r="C1517" s="29"/>
      <c r="D1517" s="29"/>
      <c r="E1517" s="29"/>
      <c r="F1517" s="29"/>
      <c r="G1517" s="29"/>
      <c r="H1517" s="29"/>
      <c r="I1517" s="29"/>
      <c r="J1517" s="29"/>
      <c r="K1517" s="29"/>
      <c r="L1517" s="29"/>
      <c r="M1517" s="29"/>
      <c r="N1517" s="29"/>
      <c r="O1517" s="29"/>
    </row>
    <row r="1518" spans="3:15"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</row>
    <row r="1519" spans="3:15">
      <c r="C1519" s="29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</row>
    <row r="1520" spans="3:15">
      <c r="C1520" s="29"/>
      <c r="D1520" s="29"/>
      <c r="E1520" s="29"/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</row>
    <row r="1521" spans="3:15"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</row>
    <row r="1522" spans="3:15">
      <c r="C1522" s="29"/>
      <c r="D1522" s="29"/>
      <c r="E1522" s="29"/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</row>
    <row r="1523" spans="3:15"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</row>
    <row r="1524" spans="3:15">
      <c r="C1524" s="29"/>
      <c r="D1524" s="29"/>
      <c r="E1524" s="29"/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</row>
    <row r="1525" spans="3:15">
      <c r="C1525" s="29"/>
      <c r="D1525" s="29"/>
      <c r="E1525" s="29"/>
      <c r="F1525" s="29"/>
      <c r="G1525" s="29"/>
      <c r="H1525" s="29"/>
      <c r="I1525" s="29"/>
      <c r="J1525" s="29"/>
      <c r="K1525" s="29"/>
      <c r="L1525" s="29"/>
      <c r="M1525" s="29"/>
      <c r="N1525" s="29"/>
      <c r="O1525" s="29"/>
    </row>
    <row r="1526" spans="3:15">
      <c r="C1526" s="29"/>
      <c r="D1526" s="29"/>
      <c r="E1526" s="29"/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</row>
    <row r="1527" spans="3:15"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</row>
    <row r="1528" spans="3:15"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</row>
    <row r="1529" spans="3:15">
      <c r="C1529" s="29"/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</row>
    <row r="1530" spans="3:15">
      <c r="C1530" s="29"/>
      <c r="D1530" s="29"/>
      <c r="E1530" s="29"/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</row>
    <row r="1531" spans="3:15">
      <c r="C1531" s="29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</row>
    <row r="1532" spans="3:15"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</row>
    <row r="1533" spans="3:15">
      <c r="C1533" s="29"/>
      <c r="D1533" s="29"/>
      <c r="E1533" s="29"/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</row>
    <row r="1534" spans="3:15">
      <c r="C1534" s="29"/>
      <c r="D1534" s="29"/>
      <c r="E1534" s="29"/>
      <c r="F1534" s="29"/>
      <c r="G1534" s="29"/>
      <c r="H1534" s="29"/>
      <c r="I1534" s="29"/>
      <c r="J1534" s="29"/>
      <c r="K1534" s="29"/>
      <c r="L1534" s="29"/>
      <c r="M1534" s="29"/>
      <c r="N1534" s="29"/>
      <c r="O1534" s="29"/>
    </row>
    <row r="1535" spans="3:15"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</row>
    <row r="1536" spans="3:15">
      <c r="C1536" s="29"/>
      <c r="D1536" s="29"/>
      <c r="E1536" s="29"/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</row>
    <row r="1537" spans="3:15">
      <c r="C1537" s="29"/>
      <c r="D1537" s="29"/>
      <c r="E1537" s="29"/>
      <c r="F1537" s="29"/>
      <c r="G1537" s="29"/>
      <c r="H1537" s="29"/>
      <c r="I1537" s="29"/>
      <c r="J1537" s="29"/>
      <c r="K1537" s="29"/>
      <c r="L1537" s="29"/>
      <c r="M1537" s="29"/>
      <c r="N1537" s="29"/>
      <c r="O1537" s="29"/>
    </row>
    <row r="1538" spans="3:15">
      <c r="C1538" s="29"/>
      <c r="D1538" s="29"/>
      <c r="E1538" s="29"/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</row>
    <row r="1539" spans="3:15"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</row>
    <row r="1540" spans="3:15">
      <c r="C1540" s="29"/>
      <c r="D1540" s="29"/>
      <c r="E1540" s="29"/>
      <c r="F1540" s="29"/>
      <c r="G1540" s="29"/>
      <c r="H1540" s="29"/>
      <c r="I1540" s="29"/>
      <c r="J1540" s="29"/>
      <c r="K1540" s="29"/>
      <c r="L1540" s="29"/>
      <c r="M1540" s="29"/>
      <c r="N1540" s="29"/>
      <c r="O1540" s="29"/>
    </row>
    <row r="1541" spans="3:15">
      <c r="C1541" s="29"/>
      <c r="D1541" s="29"/>
      <c r="E1541" s="29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</row>
    <row r="1542" spans="3:15">
      <c r="C1542" s="29"/>
      <c r="D1542" s="29"/>
      <c r="E1542" s="29"/>
      <c r="F1542" s="29"/>
      <c r="G1542" s="29"/>
      <c r="H1542" s="29"/>
      <c r="I1542" s="29"/>
      <c r="J1542" s="29"/>
      <c r="K1542" s="29"/>
      <c r="L1542" s="29"/>
      <c r="M1542" s="29"/>
      <c r="N1542" s="29"/>
      <c r="O1542" s="29"/>
    </row>
    <row r="1543" spans="3:15"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</row>
    <row r="1544" spans="3:15">
      <c r="C1544" s="29"/>
      <c r="D1544" s="29"/>
      <c r="E1544" s="29"/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</row>
    <row r="1545" spans="3:15">
      <c r="C1545" s="29"/>
      <c r="D1545" s="29"/>
      <c r="E1545" s="29"/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</row>
    <row r="1546" spans="3:15"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</row>
    <row r="1547" spans="3:15"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</row>
    <row r="1548" spans="3:15">
      <c r="C1548" s="29"/>
      <c r="D1548" s="29"/>
      <c r="E1548" s="29"/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</row>
    <row r="1549" spans="3:15">
      <c r="C1549" s="29"/>
      <c r="D1549" s="29"/>
      <c r="E1549" s="29"/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</row>
    <row r="1550" spans="3:15">
      <c r="C1550" s="29"/>
      <c r="D1550" s="29"/>
      <c r="E1550" s="29"/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</row>
    <row r="1551" spans="3:15"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</row>
    <row r="1552" spans="3:15">
      <c r="C1552" s="29"/>
      <c r="D1552" s="29"/>
      <c r="E1552" s="29"/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</row>
    <row r="1553" spans="3:15"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</row>
    <row r="1554" spans="3:15">
      <c r="C1554" s="29"/>
      <c r="D1554" s="29"/>
      <c r="E1554" s="29"/>
      <c r="F1554" s="29"/>
      <c r="G1554" s="29"/>
      <c r="H1554" s="29"/>
      <c r="I1554" s="29"/>
      <c r="J1554" s="29"/>
      <c r="K1554" s="29"/>
      <c r="L1554" s="29"/>
      <c r="M1554" s="29"/>
      <c r="N1554" s="29"/>
      <c r="O1554" s="29"/>
    </row>
    <row r="1555" spans="3:15"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</row>
    <row r="1556" spans="3:15">
      <c r="C1556" s="29"/>
      <c r="D1556" s="29"/>
      <c r="E1556" s="29"/>
      <c r="F1556" s="29"/>
      <c r="G1556" s="29"/>
      <c r="H1556" s="29"/>
      <c r="I1556" s="29"/>
      <c r="J1556" s="29"/>
      <c r="K1556" s="29"/>
      <c r="L1556" s="29"/>
      <c r="M1556" s="29"/>
      <c r="N1556" s="29"/>
      <c r="O1556" s="29"/>
    </row>
    <row r="1557" spans="3:15">
      <c r="C1557" s="29"/>
      <c r="D1557" s="29"/>
      <c r="E1557" s="29"/>
      <c r="F1557" s="29"/>
      <c r="G1557" s="29"/>
      <c r="H1557" s="29"/>
      <c r="I1557" s="29"/>
      <c r="J1557" s="29"/>
      <c r="K1557" s="29"/>
      <c r="L1557" s="29"/>
      <c r="M1557" s="29"/>
      <c r="N1557" s="29"/>
      <c r="O1557" s="29"/>
    </row>
    <row r="1558" spans="3:15">
      <c r="C1558" s="29"/>
      <c r="D1558" s="29"/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</row>
    <row r="1559" spans="3:15">
      <c r="C1559" s="29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</row>
    <row r="1560" spans="3:15">
      <c r="C1560" s="29"/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</row>
    <row r="1561" spans="3:15"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</row>
    <row r="1562" spans="3:15">
      <c r="C1562" s="29"/>
      <c r="D1562" s="29"/>
      <c r="E1562" s="29"/>
      <c r="F1562" s="29"/>
      <c r="G1562" s="29"/>
      <c r="H1562" s="29"/>
      <c r="I1562" s="29"/>
      <c r="J1562" s="29"/>
      <c r="K1562" s="29"/>
      <c r="L1562" s="29"/>
      <c r="M1562" s="29"/>
      <c r="N1562" s="29"/>
      <c r="O1562" s="29"/>
    </row>
    <row r="1563" spans="3:15">
      <c r="C1563" s="29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</row>
    <row r="1564" spans="3:15">
      <c r="C1564" s="29"/>
      <c r="D1564" s="29"/>
      <c r="E1564" s="29"/>
      <c r="F1564" s="29"/>
      <c r="G1564" s="29"/>
      <c r="H1564" s="29"/>
      <c r="I1564" s="29"/>
      <c r="J1564" s="29"/>
      <c r="K1564" s="29"/>
      <c r="L1564" s="29"/>
      <c r="M1564" s="29"/>
      <c r="N1564" s="29"/>
      <c r="O1564" s="29"/>
    </row>
    <row r="1565" spans="3:15">
      <c r="C1565" s="29"/>
      <c r="D1565" s="29"/>
      <c r="E1565" s="29"/>
      <c r="F1565" s="29"/>
      <c r="G1565" s="29"/>
      <c r="H1565" s="29"/>
      <c r="I1565" s="29"/>
      <c r="J1565" s="29"/>
      <c r="K1565" s="29"/>
      <c r="L1565" s="29"/>
      <c r="M1565" s="29"/>
      <c r="N1565" s="29"/>
      <c r="O1565" s="29"/>
    </row>
    <row r="1566" spans="3:15"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</row>
    <row r="1567" spans="3:15">
      <c r="C1567" s="29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</row>
    <row r="1568" spans="3:15">
      <c r="C1568" s="29"/>
      <c r="D1568" s="29"/>
      <c r="E1568" s="29"/>
      <c r="F1568" s="29"/>
      <c r="G1568" s="29"/>
      <c r="H1568" s="29"/>
      <c r="I1568" s="29"/>
      <c r="J1568" s="29"/>
      <c r="K1568" s="29"/>
      <c r="L1568" s="29"/>
      <c r="M1568" s="29"/>
    </row>
    <row r="1569" spans="3:13"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</row>
    <row r="1570" spans="3:13">
      <c r="C1570" s="29"/>
      <c r="D1570" s="29"/>
      <c r="E1570" s="29"/>
      <c r="F1570" s="29"/>
      <c r="G1570" s="29"/>
      <c r="H1570" s="29"/>
      <c r="I1570" s="29"/>
      <c r="J1570" s="29"/>
      <c r="K1570" s="29"/>
      <c r="L1570" s="29"/>
      <c r="M1570" s="29"/>
    </row>
    <row r="1571" spans="3:13">
      <c r="C1571" s="29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</row>
    <row r="1572" spans="3:13">
      <c r="C1572" s="29"/>
      <c r="D1572" s="29"/>
      <c r="E1572" s="29"/>
      <c r="F1572" s="29"/>
      <c r="G1572" s="29"/>
      <c r="H1572" s="29"/>
      <c r="I1572" s="29"/>
      <c r="J1572" s="29"/>
      <c r="K1572" s="29"/>
      <c r="L1572" s="29"/>
      <c r="M1572" s="29"/>
    </row>
    <row r="1573" spans="3:13">
      <c r="C1573" s="29"/>
      <c r="D1573" s="29"/>
      <c r="E1573" s="29"/>
      <c r="F1573" s="29"/>
      <c r="G1573" s="29"/>
      <c r="H1573" s="29"/>
      <c r="I1573" s="29"/>
      <c r="J1573" s="29"/>
      <c r="K1573" s="29"/>
      <c r="L1573" s="29"/>
      <c r="M1573" s="29"/>
    </row>
    <row r="1574" spans="3:13"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</row>
    <row r="1575" spans="3:13"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</row>
    <row r="1576" spans="3:13"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</row>
    <row r="1577" spans="3:13">
      <c r="C1577" s="29"/>
      <c r="D1577" s="29"/>
      <c r="E1577" s="29"/>
      <c r="F1577" s="29"/>
      <c r="G1577" s="29"/>
      <c r="H1577" s="29"/>
      <c r="I1577" s="29"/>
      <c r="J1577" s="29"/>
      <c r="K1577" s="29"/>
      <c r="L1577" s="29"/>
      <c r="M1577" s="29"/>
    </row>
    <row r="1578" spans="3:13">
      <c r="C1578" s="29"/>
      <c r="D1578" s="29"/>
      <c r="E1578" s="29"/>
      <c r="F1578" s="29"/>
      <c r="G1578" s="29"/>
      <c r="H1578" s="29"/>
      <c r="I1578" s="29"/>
      <c r="J1578" s="29"/>
      <c r="K1578" s="29"/>
      <c r="L1578" s="29"/>
      <c r="M1578" s="29"/>
    </row>
    <row r="1579" spans="3:13">
      <c r="C1579" s="29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</row>
    <row r="1580" spans="3:13">
      <c r="C1580" s="29"/>
      <c r="D1580" s="29"/>
      <c r="E1580" s="29"/>
      <c r="F1580" s="29"/>
      <c r="G1580" s="29"/>
      <c r="H1580" s="29"/>
      <c r="I1580" s="29"/>
      <c r="J1580" s="29"/>
      <c r="K1580" s="29"/>
      <c r="L1580" s="29"/>
      <c r="M1580" s="29"/>
    </row>
    <row r="1581" spans="3:13">
      <c r="C1581" s="29"/>
      <c r="D1581" s="29"/>
      <c r="E1581" s="29"/>
      <c r="F1581" s="29"/>
      <c r="G1581" s="29"/>
      <c r="H1581" s="29"/>
      <c r="I1581" s="29"/>
      <c r="J1581" s="29"/>
      <c r="K1581" s="29"/>
      <c r="L1581" s="29"/>
      <c r="M1581" s="29"/>
    </row>
    <row r="1582" spans="3:13"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</row>
    <row r="1583" spans="3:13">
      <c r="C1583" s="29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</row>
    <row r="1584" spans="3:13">
      <c r="C1584" s="29"/>
      <c r="D1584" s="29"/>
      <c r="E1584" s="29"/>
      <c r="F1584" s="29"/>
      <c r="G1584" s="29"/>
      <c r="H1584" s="29"/>
      <c r="I1584" s="29"/>
      <c r="J1584" s="29"/>
      <c r="K1584" s="29"/>
      <c r="L1584" s="29"/>
      <c r="M1584" s="29"/>
    </row>
    <row r="1585" spans="3:13">
      <c r="C1585" s="29"/>
      <c r="D1585" s="29"/>
      <c r="E1585" s="29"/>
      <c r="F1585" s="29"/>
      <c r="G1585" s="29"/>
      <c r="H1585" s="29"/>
      <c r="I1585" s="29"/>
      <c r="J1585" s="29"/>
      <c r="K1585" s="29"/>
      <c r="L1585" s="29"/>
      <c r="M1585" s="29"/>
    </row>
    <row r="1586" spans="3:13"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</row>
    <row r="1587" spans="3:13">
      <c r="C1587" s="29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</row>
    <row r="1588" spans="3:13"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</row>
    <row r="1589" spans="3:13"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</row>
    <row r="1590" spans="3:13"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</row>
    <row r="1591" spans="3:13"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</row>
    <row r="1592" spans="3:13">
      <c r="C1592" s="29"/>
      <c r="D1592" s="29"/>
      <c r="E1592" s="29"/>
      <c r="F1592" s="29"/>
      <c r="G1592" s="29"/>
      <c r="H1592" s="29"/>
      <c r="I1592" s="29"/>
      <c r="J1592" s="29"/>
      <c r="K1592" s="29"/>
      <c r="L1592" s="29"/>
      <c r="M1592" s="29"/>
    </row>
    <row r="1593" spans="3:13">
      <c r="C1593" s="29"/>
      <c r="D1593" s="29"/>
      <c r="E1593" s="29"/>
      <c r="F1593" s="29"/>
      <c r="G1593" s="29"/>
      <c r="H1593" s="29"/>
      <c r="I1593" s="29"/>
      <c r="J1593" s="29"/>
      <c r="K1593" s="29"/>
      <c r="L1593" s="29"/>
      <c r="M1593" s="29"/>
    </row>
    <row r="1594" spans="3:13">
      <c r="C1594" s="29"/>
      <c r="D1594" s="29"/>
      <c r="E1594" s="29"/>
      <c r="F1594" s="29"/>
      <c r="G1594" s="29"/>
      <c r="H1594" s="29"/>
      <c r="I1594" s="29"/>
      <c r="J1594" s="29"/>
      <c r="K1594" s="29"/>
      <c r="L1594" s="29"/>
      <c r="M1594" s="29"/>
    </row>
    <row r="1595" spans="3:13"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</row>
    <row r="1596" spans="3:13">
      <c r="C1596" s="29"/>
      <c r="D1596" s="29"/>
      <c r="E1596" s="29"/>
      <c r="F1596" s="29"/>
      <c r="G1596" s="29"/>
      <c r="H1596" s="29"/>
      <c r="I1596" s="29"/>
      <c r="J1596" s="29"/>
      <c r="K1596" s="29"/>
      <c r="L1596" s="29"/>
      <c r="M1596" s="29"/>
    </row>
    <row r="1597" spans="3:13"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</row>
    <row r="1598" spans="3:13">
      <c r="C1598" s="29"/>
      <c r="D1598" s="29"/>
      <c r="E1598" s="29"/>
      <c r="F1598" s="29"/>
      <c r="G1598" s="29"/>
      <c r="H1598" s="29"/>
      <c r="I1598" s="29"/>
      <c r="J1598" s="29"/>
      <c r="K1598" s="29"/>
      <c r="L1598" s="29"/>
      <c r="M1598" s="29"/>
    </row>
    <row r="1599" spans="3:13">
      <c r="C1599" s="29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</row>
    <row r="1600" spans="3:13">
      <c r="C1600" s="29"/>
      <c r="D1600" s="29"/>
      <c r="E1600" s="29"/>
      <c r="F1600" s="29"/>
      <c r="G1600" s="29"/>
      <c r="H1600" s="29"/>
      <c r="I1600" s="29"/>
      <c r="J1600" s="29"/>
      <c r="K1600" s="29"/>
      <c r="L1600" s="29"/>
      <c r="M1600" s="29"/>
    </row>
    <row r="1601" spans="3:13">
      <c r="C1601" s="29"/>
      <c r="D1601" s="29"/>
      <c r="E1601" s="29"/>
      <c r="F1601" s="29"/>
      <c r="G1601" s="29"/>
      <c r="H1601" s="29"/>
      <c r="I1601" s="29"/>
      <c r="J1601" s="29"/>
      <c r="K1601" s="29"/>
      <c r="L1601" s="29"/>
      <c r="M1601" s="29"/>
    </row>
    <row r="1602" spans="3:13">
      <c r="C1602" s="29"/>
      <c r="D1602" s="29"/>
      <c r="E1602" s="29"/>
      <c r="F1602" s="29"/>
      <c r="G1602" s="29"/>
      <c r="H1602" s="29"/>
      <c r="I1602" s="29"/>
      <c r="J1602" s="29"/>
      <c r="K1602" s="29"/>
      <c r="L1602" s="29"/>
      <c r="M1602" s="29"/>
    </row>
    <row r="1603" spans="3:13">
      <c r="C1603" s="29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</row>
    <row r="1604" spans="3:13"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</row>
    <row r="1605" spans="3:13"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</row>
    <row r="1606" spans="3:13">
      <c r="C1606" s="29"/>
      <c r="D1606" s="29"/>
      <c r="E1606" s="29"/>
      <c r="F1606" s="29"/>
      <c r="G1606" s="29"/>
      <c r="H1606" s="29"/>
      <c r="I1606" s="29"/>
      <c r="J1606" s="29"/>
      <c r="K1606" s="29"/>
      <c r="L1606" s="29"/>
      <c r="M1606" s="29"/>
    </row>
    <row r="1607" spans="3:13">
      <c r="C1607" s="29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</row>
    <row r="1608" spans="3:13">
      <c r="C1608" s="29"/>
      <c r="D1608" s="29"/>
      <c r="E1608" s="29"/>
      <c r="F1608" s="29"/>
      <c r="G1608" s="29"/>
      <c r="H1608" s="29"/>
      <c r="I1608" s="29"/>
      <c r="J1608" s="29"/>
      <c r="K1608" s="29"/>
      <c r="L1608" s="29"/>
      <c r="M1608" s="29"/>
    </row>
    <row r="1609" spans="3:13"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</row>
    <row r="1610" spans="3:13"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</row>
    <row r="1611" spans="3:13"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</row>
    <row r="1612" spans="3:13">
      <c r="C1612" s="29"/>
      <c r="D1612" s="29"/>
      <c r="E1612" s="29"/>
      <c r="F1612" s="29"/>
      <c r="G1612" s="29"/>
      <c r="H1612" s="29"/>
      <c r="I1612" s="29"/>
      <c r="J1612" s="29"/>
      <c r="K1612" s="29"/>
      <c r="L1612" s="29"/>
      <c r="M1612" s="29"/>
    </row>
  </sheetData>
  <autoFilter ref="A2:AK460" xr:uid="{E90A0AA7-088B-45BE-A374-FF2A34F7FCC2}"/>
  <sortState xmlns:xlrd2="http://schemas.microsoft.com/office/spreadsheetml/2017/richdata2" ref="C568:O569">
    <sortCondition ref="I568:I569"/>
  </sortState>
  <mergeCells count="2">
    <mergeCell ref="C1:O1"/>
    <mergeCell ref="A1:B1"/>
  </mergeCells>
  <phoneticPr fontId="3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063-BD4C-4CC2-81EB-DB90FBE8BD71}">
  <sheetPr codeName="Sheet4"/>
  <dimension ref="B2:L18"/>
  <sheetViews>
    <sheetView showGridLines="0" workbookViewId="0">
      <selection activeCell="J6" sqref="J6"/>
    </sheetView>
  </sheetViews>
  <sheetFormatPr defaultRowHeight="15"/>
  <cols>
    <col min="2" max="2" width="10.42578125" bestFit="1" customWidth="1"/>
    <col min="3" max="3" width="9.140625" bestFit="1" customWidth="1"/>
    <col min="4" max="4" width="8" bestFit="1" customWidth="1"/>
    <col min="6" max="6" width="10.28515625" bestFit="1" customWidth="1"/>
    <col min="7" max="7" width="9.28515625" bestFit="1" customWidth="1"/>
    <col min="10" max="10" width="10.7109375" bestFit="1" customWidth="1"/>
  </cols>
  <sheetData>
    <row r="2" spans="2:12">
      <c r="B2" s="9"/>
      <c r="C2" s="9"/>
      <c r="D2" s="9"/>
      <c r="E2" s="9"/>
      <c r="F2" s="45" t="s">
        <v>620</v>
      </c>
      <c r="G2" s="9"/>
      <c r="H2" s="9"/>
      <c r="K2">
        <v>2022</v>
      </c>
      <c r="L2">
        <v>2023</v>
      </c>
    </row>
    <row r="3" spans="2:12">
      <c r="B3" s="46" t="s">
        <v>163</v>
      </c>
      <c r="C3" s="47" t="s">
        <v>24</v>
      </c>
      <c r="D3" s="48" t="s">
        <v>156</v>
      </c>
      <c r="E3" s="9"/>
      <c r="F3" s="49" t="s">
        <v>24</v>
      </c>
      <c r="G3" s="49" t="s">
        <v>620</v>
      </c>
      <c r="H3" s="9"/>
      <c r="J3" s="1" t="s">
        <v>625</v>
      </c>
      <c r="K3" s="60">
        <v>1.1334</v>
      </c>
      <c r="L3" s="123">
        <v>1.0649</v>
      </c>
    </row>
    <row r="4" spans="2:12">
      <c r="B4" s="50" t="s">
        <v>621</v>
      </c>
      <c r="C4" s="9" t="s">
        <v>42</v>
      </c>
      <c r="D4" s="30" t="s">
        <v>10</v>
      </c>
      <c r="E4" s="142"/>
      <c r="F4" s="51" t="s">
        <v>270</v>
      </c>
      <c r="G4" s="52">
        <v>0.02</v>
      </c>
      <c r="H4" s="9"/>
      <c r="J4" s="1" t="s">
        <v>626</v>
      </c>
      <c r="K4" s="60">
        <v>1.5593999999999999</v>
      </c>
      <c r="L4" s="123">
        <v>1.5859000000000001</v>
      </c>
    </row>
    <row r="5" spans="2:12">
      <c r="B5" s="50" t="s">
        <v>621</v>
      </c>
      <c r="C5" s="9" t="s">
        <v>270</v>
      </c>
      <c r="D5" s="30" t="s">
        <v>10</v>
      </c>
      <c r="E5" s="142"/>
      <c r="F5" s="53" t="s">
        <v>42</v>
      </c>
      <c r="G5" s="54">
        <v>0.01</v>
      </c>
      <c r="H5" s="9"/>
      <c r="J5" s="1"/>
      <c r="K5" s="60"/>
      <c r="L5" s="123"/>
    </row>
    <row r="6" spans="2:12">
      <c r="B6" s="50" t="s">
        <v>621</v>
      </c>
      <c r="C6" s="9" t="s">
        <v>353</v>
      </c>
      <c r="D6" s="30" t="s">
        <v>10</v>
      </c>
      <c r="E6" s="9"/>
      <c r="F6" s="53" t="s">
        <v>353</v>
      </c>
      <c r="G6" s="54">
        <v>0.04</v>
      </c>
      <c r="H6" s="9"/>
      <c r="J6" s="1" t="s">
        <v>627</v>
      </c>
      <c r="K6" s="60">
        <v>1.3758602435150873</v>
      </c>
      <c r="L6" s="60">
        <v>1.4892000000000001</v>
      </c>
    </row>
    <row r="7" spans="2:12">
      <c r="B7" s="50" t="s">
        <v>622</v>
      </c>
      <c r="C7" s="9" t="s">
        <v>49</v>
      </c>
      <c r="D7" s="30" t="s">
        <v>503</v>
      </c>
      <c r="E7" s="142"/>
      <c r="F7" s="53" t="s">
        <v>49</v>
      </c>
      <c r="G7" s="54">
        <v>0.11</v>
      </c>
      <c r="H7" s="9"/>
      <c r="J7" s="1" t="s">
        <v>628</v>
      </c>
      <c r="K7" s="60">
        <v>0.72681800692574072</v>
      </c>
      <c r="L7" s="123">
        <v>0.67147991676650476</v>
      </c>
    </row>
    <row r="8" spans="2:12">
      <c r="B8" s="50" t="s">
        <v>623</v>
      </c>
      <c r="C8" s="9" t="s">
        <v>44</v>
      </c>
      <c r="D8" s="30" t="s">
        <v>503</v>
      </c>
      <c r="E8" s="142"/>
      <c r="F8" s="53" t="s">
        <v>37</v>
      </c>
      <c r="G8" s="54">
        <v>0.05</v>
      </c>
      <c r="H8" s="9"/>
    </row>
    <row r="9" spans="2:12">
      <c r="B9" s="55" t="s">
        <v>624</v>
      </c>
      <c r="C9" s="56" t="s">
        <v>37</v>
      </c>
      <c r="D9" s="57" t="s">
        <v>503</v>
      </c>
      <c r="E9" s="142"/>
      <c r="F9" s="58" t="s">
        <v>44</v>
      </c>
      <c r="G9" s="59">
        <v>7.0000000000000007E-2</v>
      </c>
      <c r="H9" s="9"/>
      <c r="K9" s="108"/>
    </row>
    <row r="10" spans="2:12">
      <c r="C10" s="143"/>
      <c r="D10" s="144"/>
      <c r="E10" s="142"/>
      <c r="F10" s="144"/>
      <c r="G10" s="145"/>
      <c r="H10" s="9"/>
      <c r="K10" s="108"/>
    </row>
    <row r="11" spans="2:12" ht="15.75" thickBot="1">
      <c r="C11" s="143"/>
      <c r="E11" s="124"/>
      <c r="H11" s="136">
        <v>45108</v>
      </c>
      <c r="I11" s="136">
        <v>44835</v>
      </c>
      <c r="J11" s="136">
        <v>44713</v>
      </c>
      <c r="K11" s="136">
        <v>44682</v>
      </c>
    </row>
    <row r="12" spans="2:12" ht="45">
      <c r="F12" s="112" t="s">
        <v>24</v>
      </c>
      <c r="G12" s="113" t="s">
        <v>630</v>
      </c>
      <c r="H12" s="113" t="s">
        <v>630</v>
      </c>
      <c r="I12" s="113" t="s">
        <v>630</v>
      </c>
      <c r="J12" s="113" t="s">
        <v>630</v>
      </c>
      <c r="K12" s="113" t="s">
        <v>630</v>
      </c>
    </row>
    <row r="13" spans="2:12">
      <c r="F13" s="114" t="s">
        <v>270</v>
      </c>
      <c r="G13" s="115">
        <v>-1.5299999999999999E-2</v>
      </c>
      <c r="H13" s="115">
        <v>-1.5299999999999999E-2</v>
      </c>
      <c r="I13" s="137">
        <v>1.2E-2</v>
      </c>
      <c r="J13" s="137">
        <v>1.2E-2</v>
      </c>
      <c r="K13" s="137">
        <v>9.5000000000000001E-2</v>
      </c>
    </row>
    <row r="14" spans="2:12">
      <c r="F14" s="114" t="s">
        <v>42</v>
      </c>
      <c r="G14" s="137">
        <v>8.9999999999999998E-4</v>
      </c>
      <c r="H14" s="137">
        <v>8.9999999999999998E-4</v>
      </c>
      <c r="I14" s="137">
        <v>1.2E-2</v>
      </c>
      <c r="J14" s="137">
        <v>1.2E-2</v>
      </c>
      <c r="K14" s="137">
        <v>8.5000000000000006E-2</v>
      </c>
    </row>
    <row r="15" spans="2:12">
      <c r="F15" s="114" t="s">
        <v>353</v>
      </c>
      <c r="G15" s="115">
        <v>-4.8300000000000003E-2</v>
      </c>
      <c r="H15" s="115">
        <v>-4.8300000000000003E-2</v>
      </c>
      <c r="I15" s="137">
        <v>1.2E-2</v>
      </c>
      <c r="J15" s="137">
        <v>1.2E-2</v>
      </c>
      <c r="K15" s="137">
        <v>0.03</v>
      </c>
    </row>
    <row r="16" spans="2:12">
      <c r="F16" s="114" t="s">
        <v>37</v>
      </c>
      <c r="G16" s="137">
        <v>1.6E-2</v>
      </c>
      <c r="H16" s="137">
        <v>1.2200000000000001E-2</v>
      </c>
      <c r="I16" s="137">
        <v>0.01</v>
      </c>
      <c r="J16" s="137">
        <v>7.0000000000000007E-2</v>
      </c>
      <c r="K16" s="137">
        <v>7.0000000000000007E-2</v>
      </c>
    </row>
    <row r="17" spans="6:11">
      <c r="F17" s="114" t="s">
        <v>49</v>
      </c>
      <c r="G17" s="115">
        <v>-1.0999999999999999E-2</v>
      </c>
      <c r="H17" s="137">
        <v>4.0000000000000001E-3</v>
      </c>
      <c r="I17" s="137">
        <v>0.01</v>
      </c>
      <c r="J17" s="137">
        <v>0.115</v>
      </c>
      <c r="K17" s="137">
        <v>0.115</v>
      </c>
    </row>
    <row r="18" spans="6:11">
      <c r="F18" s="114" t="s">
        <v>44</v>
      </c>
      <c r="G18" s="137">
        <v>1.4999999999999999E-2</v>
      </c>
      <c r="H18" s="137">
        <v>1.2E-2</v>
      </c>
      <c r="I18" s="137">
        <v>0.01</v>
      </c>
      <c r="J18" s="137">
        <v>0.08</v>
      </c>
      <c r="K18" s="137">
        <v>0.105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D387-786B-4033-8AC6-9FDAEF54DCA4}">
  <sheetPr codeName="Sheet5"/>
  <dimension ref="A1:I270"/>
  <sheetViews>
    <sheetView workbookViewId="0">
      <pane ySplit="3" topLeftCell="A4" activePane="bottomLeft" state="frozen"/>
      <selection pane="bottomLeft" activeCell="L31" sqref="L31"/>
    </sheetView>
  </sheetViews>
  <sheetFormatPr defaultColWidth="9.140625" defaultRowHeight="15"/>
  <cols>
    <col min="1" max="2" width="9.140625" style="3"/>
    <col min="3" max="3" width="9" style="3" customWidth="1"/>
    <col min="4" max="4" width="7.42578125" style="40" bestFit="1" customWidth="1"/>
    <col min="5" max="6" width="7.42578125" style="3" bestFit="1" customWidth="1"/>
    <col min="7" max="16384" width="9.140625" style="3"/>
  </cols>
  <sheetData>
    <row r="1" spans="1:9">
      <c r="A1" s="33" t="s">
        <v>520</v>
      </c>
      <c r="B1" s="33"/>
      <c r="C1" s="33"/>
      <c r="D1" s="34"/>
      <c r="E1" s="33"/>
      <c r="F1" s="33"/>
      <c r="G1" s="35" t="s">
        <v>16</v>
      </c>
    </row>
    <row r="2" spans="1:9">
      <c r="A2" s="33"/>
      <c r="B2" s="33"/>
      <c r="C2" s="33"/>
      <c r="D2" s="34"/>
      <c r="E2" s="36" t="s">
        <v>521</v>
      </c>
      <c r="F2" s="36" t="s">
        <v>522</v>
      </c>
      <c r="G2" s="35"/>
    </row>
    <row r="3" spans="1:9" s="38" customFormat="1">
      <c r="A3" s="35" t="s">
        <v>523</v>
      </c>
      <c r="B3" s="35" t="s">
        <v>524</v>
      </c>
      <c r="C3" s="35" t="s">
        <v>525</v>
      </c>
      <c r="D3" s="37" t="s">
        <v>526</v>
      </c>
      <c r="E3" s="35" t="s">
        <v>527</v>
      </c>
      <c r="F3" s="35" t="s">
        <v>528</v>
      </c>
      <c r="G3" s="35" t="s">
        <v>6</v>
      </c>
      <c r="I3" s="38" t="s">
        <v>529</v>
      </c>
    </row>
    <row r="4" spans="1:9">
      <c r="A4" s="33" t="s">
        <v>145</v>
      </c>
      <c r="B4" s="33" t="s">
        <v>530</v>
      </c>
      <c r="C4" s="125" t="s">
        <v>295</v>
      </c>
      <c r="D4" s="126">
        <v>2305</v>
      </c>
      <c r="E4" s="126">
        <v>190</v>
      </c>
      <c r="F4" s="126">
        <v>390</v>
      </c>
      <c r="G4" s="126">
        <v>2885</v>
      </c>
      <c r="H4" s="127">
        <v>1385</v>
      </c>
    </row>
    <row r="5" spans="1:9">
      <c r="A5" s="33" t="s">
        <v>145</v>
      </c>
      <c r="B5" s="33" t="s">
        <v>530</v>
      </c>
      <c r="C5" s="125" t="s">
        <v>297</v>
      </c>
      <c r="D5" s="126">
        <v>4400</v>
      </c>
      <c r="E5" s="126">
        <v>500</v>
      </c>
      <c r="F5" s="126">
        <v>1250</v>
      </c>
      <c r="G5" s="126">
        <v>6150</v>
      </c>
      <c r="H5" s="127">
        <v>1150</v>
      </c>
    </row>
    <row r="6" spans="1:9">
      <c r="A6" s="33" t="s">
        <v>145</v>
      </c>
      <c r="B6" s="33" t="s">
        <v>530</v>
      </c>
      <c r="C6" s="125" t="s">
        <v>176</v>
      </c>
      <c r="D6" s="126">
        <v>2485</v>
      </c>
      <c r="E6" s="126">
        <v>375</v>
      </c>
      <c r="F6" s="126">
        <v>1000</v>
      </c>
      <c r="G6" s="126">
        <v>3860</v>
      </c>
      <c r="H6" s="127">
        <v>360</v>
      </c>
    </row>
    <row r="7" spans="1:9">
      <c r="A7" s="33" t="s">
        <v>145</v>
      </c>
      <c r="B7" s="33" t="s">
        <v>530</v>
      </c>
      <c r="C7" s="125" t="s">
        <v>269</v>
      </c>
      <c r="D7" s="126">
        <v>4495</v>
      </c>
      <c r="E7" s="126">
        <v>600</v>
      </c>
      <c r="F7" s="126">
        <v>1500</v>
      </c>
      <c r="G7" s="126">
        <v>6595</v>
      </c>
      <c r="H7" s="127">
        <v>595</v>
      </c>
    </row>
    <row r="8" spans="1:9">
      <c r="A8" s="33" t="s">
        <v>145</v>
      </c>
      <c r="B8" s="33" t="s">
        <v>530</v>
      </c>
      <c r="C8" s="125" t="s">
        <v>272</v>
      </c>
      <c r="D8" s="126">
        <v>8000</v>
      </c>
      <c r="E8" s="126">
        <v>1500</v>
      </c>
      <c r="F8" s="126">
        <v>1500</v>
      </c>
      <c r="G8" s="126">
        <v>11000</v>
      </c>
      <c r="H8" s="127">
        <v>0</v>
      </c>
    </row>
    <row r="9" spans="1:9">
      <c r="A9" s="33" t="s">
        <v>145</v>
      </c>
      <c r="B9" s="33" t="s">
        <v>530</v>
      </c>
      <c r="C9" s="125" t="s">
        <v>226</v>
      </c>
      <c r="D9" s="126">
        <v>16000</v>
      </c>
      <c r="E9" s="126">
        <v>2000</v>
      </c>
      <c r="F9" s="126">
        <v>2000</v>
      </c>
      <c r="G9" s="126">
        <v>20000</v>
      </c>
      <c r="H9" s="127">
        <v>0</v>
      </c>
    </row>
    <row r="10" spans="1:9">
      <c r="A10" s="33" t="s">
        <v>145</v>
      </c>
      <c r="B10" s="33" t="s">
        <v>530</v>
      </c>
      <c r="C10" s="129" t="s">
        <v>531</v>
      </c>
      <c r="D10" s="126">
        <v>2490</v>
      </c>
      <c r="E10" s="126">
        <v>200</v>
      </c>
      <c r="F10" s="126">
        <v>500</v>
      </c>
      <c r="G10" s="126">
        <v>3190</v>
      </c>
      <c r="H10" s="127">
        <v>1500</v>
      </c>
    </row>
    <row r="11" spans="1:9">
      <c r="A11" s="33" t="s">
        <v>145</v>
      </c>
      <c r="B11" s="33" t="s">
        <v>530</v>
      </c>
      <c r="C11" s="125" t="s">
        <v>227</v>
      </c>
      <c r="D11" s="126">
        <v>9500</v>
      </c>
      <c r="E11" s="126">
        <v>1500</v>
      </c>
      <c r="F11" s="126">
        <v>1500</v>
      </c>
      <c r="G11" s="126">
        <v>12500</v>
      </c>
      <c r="H11" s="127">
        <v>0</v>
      </c>
    </row>
    <row r="12" spans="1:9">
      <c r="A12" s="33" t="s">
        <v>145</v>
      </c>
      <c r="B12" s="33" t="s">
        <v>530</v>
      </c>
      <c r="C12" s="125" t="s">
        <v>403</v>
      </c>
      <c r="D12" s="126">
        <v>4330</v>
      </c>
      <c r="E12" s="126">
        <v>490</v>
      </c>
      <c r="F12" s="126">
        <v>1510</v>
      </c>
      <c r="G12" s="126">
        <v>6330</v>
      </c>
      <c r="H12" s="127">
        <v>1530</v>
      </c>
    </row>
    <row r="13" spans="1:9">
      <c r="A13" s="33" t="s">
        <v>145</v>
      </c>
      <c r="B13" s="33" t="s">
        <v>530</v>
      </c>
      <c r="C13" s="129" t="s">
        <v>532</v>
      </c>
      <c r="D13" s="126">
        <v>2715</v>
      </c>
      <c r="E13" s="126">
        <v>200</v>
      </c>
      <c r="F13" s="126">
        <v>500</v>
      </c>
      <c r="G13" s="126">
        <v>3415</v>
      </c>
      <c r="H13" s="127">
        <v>1500</v>
      </c>
    </row>
    <row r="14" spans="1:9">
      <c r="A14" s="33" t="s">
        <v>145</v>
      </c>
      <c r="B14" s="33" t="s">
        <v>530</v>
      </c>
      <c r="C14" s="125" t="s">
        <v>178</v>
      </c>
      <c r="D14" s="126">
        <v>3375</v>
      </c>
      <c r="E14" s="126">
        <v>200</v>
      </c>
      <c r="F14" s="126">
        <v>500</v>
      </c>
      <c r="G14" s="126">
        <v>4075</v>
      </c>
      <c r="H14" s="127">
        <v>425</v>
      </c>
    </row>
    <row r="15" spans="1:9">
      <c r="A15" s="33" t="s">
        <v>145</v>
      </c>
      <c r="B15" s="33" t="s">
        <v>530</v>
      </c>
      <c r="C15" s="129" t="s">
        <v>533</v>
      </c>
      <c r="D15" s="126">
        <v>2910</v>
      </c>
      <c r="E15" s="126">
        <v>200</v>
      </c>
      <c r="F15" s="126">
        <v>295</v>
      </c>
      <c r="G15" s="126">
        <v>3405</v>
      </c>
      <c r="H15" s="127">
        <v>1500</v>
      </c>
    </row>
    <row r="16" spans="1:9">
      <c r="A16" s="33" t="s">
        <v>145</v>
      </c>
      <c r="B16" s="33" t="s">
        <v>530</v>
      </c>
      <c r="C16" s="129" t="s">
        <v>534</v>
      </c>
      <c r="D16" s="126">
        <v>2250</v>
      </c>
      <c r="E16" s="126">
        <v>120</v>
      </c>
      <c r="F16" s="126">
        <v>295</v>
      </c>
      <c r="G16" s="126">
        <v>2665</v>
      </c>
      <c r="H16" s="127">
        <v>1500</v>
      </c>
    </row>
    <row r="17" spans="1:8">
      <c r="A17" s="33" t="s">
        <v>145</v>
      </c>
      <c r="B17" s="33" t="s">
        <v>530</v>
      </c>
      <c r="C17" s="125" t="s">
        <v>275</v>
      </c>
      <c r="D17" s="126">
        <v>27600</v>
      </c>
      <c r="E17" s="126">
        <v>3000</v>
      </c>
      <c r="F17" s="126">
        <v>3000</v>
      </c>
      <c r="G17" s="126">
        <v>33600</v>
      </c>
      <c r="H17" s="127">
        <v>0</v>
      </c>
    </row>
    <row r="18" spans="1:8">
      <c r="A18" s="33" t="s">
        <v>145</v>
      </c>
      <c r="B18" s="33" t="s">
        <v>530</v>
      </c>
      <c r="C18" s="125" t="s">
        <v>187</v>
      </c>
      <c r="D18" s="126">
        <v>3235</v>
      </c>
      <c r="E18" s="126">
        <v>200</v>
      </c>
      <c r="F18" s="126">
        <v>800</v>
      </c>
      <c r="G18" s="126">
        <v>4235</v>
      </c>
      <c r="H18" s="127">
        <v>1235</v>
      </c>
    </row>
    <row r="19" spans="1:8">
      <c r="A19" s="33" t="s">
        <v>145</v>
      </c>
      <c r="B19" s="33" t="s">
        <v>530</v>
      </c>
      <c r="C19" s="129" t="s">
        <v>535</v>
      </c>
      <c r="D19" s="126">
        <v>3350</v>
      </c>
      <c r="E19" s="126">
        <v>280</v>
      </c>
      <c r="F19" s="126">
        <v>705</v>
      </c>
      <c r="G19" s="126">
        <v>4335</v>
      </c>
      <c r="H19" s="127">
        <v>1500</v>
      </c>
    </row>
    <row r="20" spans="1:8">
      <c r="A20" s="33" t="s">
        <v>145</v>
      </c>
      <c r="B20" s="33" t="s">
        <v>530</v>
      </c>
      <c r="C20" s="125" t="s">
        <v>173</v>
      </c>
      <c r="D20" s="126">
        <v>2290</v>
      </c>
      <c r="E20" s="126">
        <v>185</v>
      </c>
      <c r="F20" s="126">
        <v>500</v>
      </c>
      <c r="G20" s="126">
        <v>2975</v>
      </c>
      <c r="H20" s="127">
        <v>1475</v>
      </c>
    </row>
    <row r="21" spans="1:8">
      <c r="A21" s="33" t="s">
        <v>145</v>
      </c>
      <c r="B21" s="33" t="s">
        <v>530</v>
      </c>
      <c r="C21" s="125" t="s">
        <v>384</v>
      </c>
      <c r="D21" s="126">
        <v>3190</v>
      </c>
      <c r="E21" s="126">
        <v>500</v>
      </c>
      <c r="F21" s="126">
        <v>1000</v>
      </c>
      <c r="G21" s="126">
        <v>4690</v>
      </c>
      <c r="H21" s="127">
        <v>1490</v>
      </c>
    </row>
    <row r="22" spans="1:8">
      <c r="A22" s="33" t="s">
        <v>145</v>
      </c>
      <c r="B22" s="33" t="s">
        <v>530</v>
      </c>
      <c r="C22" s="129" t="s">
        <v>536</v>
      </c>
      <c r="D22" s="126">
        <v>2500</v>
      </c>
      <c r="E22" s="126">
        <v>200</v>
      </c>
      <c r="F22" s="126">
        <v>500</v>
      </c>
      <c r="G22" s="126">
        <v>3200</v>
      </c>
      <c r="H22" s="127">
        <v>1500</v>
      </c>
    </row>
    <row r="23" spans="1:8">
      <c r="A23" s="33" t="s">
        <v>145</v>
      </c>
      <c r="B23" s="33" t="s">
        <v>530</v>
      </c>
      <c r="C23" s="129" t="s">
        <v>537</v>
      </c>
      <c r="D23" s="126">
        <v>2500</v>
      </c>
      <c r="E23" s="126">
        <v>200</v>
      </c>
      <c r="F23" s="126">
        <v>500</v>
      </c>
      <c r="G23" s="126">
        <v>3200</v>
      </c>
      <c r="H23" s="127">
        <v>1500</v>
      </c>
    </row>
    <row r="24" spans="1:8">
      <c r="A24" s="33" t="s">
        <v>145</v>
      </c>
      <c r="B24" s="33" t="s">
        <v>530</v>
      </c>
      <c r="C24" s="129" t="s">
        <v>538</v>
      </c>
      <c r="D24" s="126">
        <v>2500</v>
      </c>
      <c r="E24" s="126">
        <v>200</v>
      </c>
      <c r="F24" s="126">
        <v>500</v>
      </c>
      <c r="G24" s="126">
        <v>3200</v>
      </c>
      <c r="H24" s="127">
        <v>1500</v>
      </c>
    </row>
    <row r="25" spans="1:8">
      <c r="A25" s="33" t="s">
        <v>145</v>
      </c>
      <c r="B25" s="33" t="s">
        <v>530</v>
      </c>
      <c r="C25" s="125" t="s">
        <v>383</v>
      </c>
      <c r="D25" s="126">
        <v>3235</v>
      </c>
      <c r="E25" s="126">
        <v>300</v>
      </c>
      <c r="F25" s="126">
        <v>700</v>
      </c>
      <c r="G25" s="126">
        <v>4235</v>
      </c>
      <c r="H25" s="127">
        <v>1235</v>
      </c>
    </row>
    <row r="26" spans="1:8">
      <c r="A26" s="33" t="s">
        <v>145</v>
      </c>
      <c r="B26" s="33" t="s">
        <v>530</v>
      </c>
      <c r="C26" s="125" t="s">
        <v>175</v>
      </c>
      <c r="D26" s="126">
        <v>2260</v>
      </c>
      <c r="E26" s="126">
        <v>230</v>
      </c>
      <c r="F26" s="126">
        <v>655</v>
      </c>
      <c r="G26" s="126">
        <v>3145</v>
      </c>
      <c r="H26" s="127">
        <v>1645</v>
      </c>
    </row>
    <row r="27" spans="1:8">
      <c r="A27" s="33" t="s">
        <v>145</v>
      </c>
      <c r="B27" s="33" t="s">
        <v>530</v>
      </c>
      <c r="C27" s="125" t="s">
        <v>255</v>
      </c>
      <c r="D27" s="126">
        <v>2775</v>
      </c>
      <c r="E27" s="126">
        <v>200</v>
      </c>
      <c r="F27" s="126">
        <v>600</v>
      </c>
      <c r="G27" s="126">
        <v>3575</v>
      </c>
      <c r="H27" s="127">
        <v>1575</v>
      </c>
    </row>
    <row r="28" spans="1:8">
      <c r="A28" s="33" t="s">
        <v>145</v>
      </c>
      <c r="B28" s="33" t="s">
        <v>530</v>
      </c>
      <c r="C28" s="125" t="s">
        <v>402</v>
      </c>
      <c r="D28" s="126">
        <v>3805</v>
      </c>
      <c r="E28" s="126">
        <v>300</v>
      </c>
      <c r="F28" s="126">
        <v>750</v>
      </c>
      <c r="G28" s="126">
        <v>4855</v>
      </c>
      <c r="H28" s="127">
        <v>1855</v>
      </c>
    </row>
    <row r="29" spans="1:8">
      <c r="A29" s="33" t="s">
        <v>145</v>
      </c>
      <c r="B29" s="33" t="s">
        <v>530</v>
      </c>
      <c r="C29" s="129" t="s">
        <v>539</v>
      </c>
      <c r="D29" s="126">
        <v>2380</v>
      </c>
      <c r="E29" s="126">
        <v>180</v>
      </c>
      <c r="F29" s="126">
        <v>440</v>
      </c>
      <c r="G29" s="126">
        <v>3000</v>
      </c>
      <c r="H29" s="127">
        <v>1500</v>
      </c>
    </row>
    <row r="30" spans="1:8">
      <c r="A30" s="33" t="s">
        <v>145</v>
      </c>
      <c r="B30" s="33" t="s">
        <v>530</v>
      </c>
      <c r="C30" s="129" t="s">
        <v>540</v>
      </c>
      <c r="D30" s="126">
        <v>2550</v>
      </c>
      <c r="E30" s="126">
        <v>175</v>
      </c>
      <c r="F30" s="126">
        <v>440</v>
      </c>
      <c r="G30" s="126">
        <v>3165</v>
      </c>
      <c r="H30" s="127">
        <v>1500</v>
      </c>
    </row>
    <row r="31" spans="1:8">
      <c r="A31" s="33" t="s">
        <v>145</v>
      </c>
      <c r="B31" s="33" t="s">
        <v>530</v>
      </c>
      <c r="C31" s="125" t="s">
        <v>224</v>
      </c>
      <c r="D31" s="126">
        <v>20000</v>
      </c>
      <c r="E31" s="126">
        <v>3000</v>
      </c>
      <c r="F31" s="126">
        <v>3000</v>
      </c>
      <c r="G31" s="126">
        <v>26000</v>
      </c>
      <c r="H31" s="127">
        <v>0</v>
      </c>
    </row>
    <row r="32" spans="1:8">
      <c r="A32" s="33" t="s">
        <v>145</v>
      </c>
      <c r="B32" s="33" t="s">
        <v>530</v>
      </c>
      <c r="C32" s="129" t="s">
        <v>541</v>
      </c>
      <c r="D32" s="126">
        <v>2050</v>
      </c>
      <c r="E32" s="126">
        <v>100</v>
      </c>
      <c r="F32" s="126">
        <v>200</v>
      </c>
      <c r="G32" s="126">
        <v>2350</v>
      </c>
      <c r="H32" s="127">
        <v>1500</v>
      </c>
    </row>
    <row r="33" spans="1:8">
      <c r="A33" s="33" t="s">
        <v>145</v>
      </c>
      <c r="B33" s="33" t="s">
        <v>530</v>
      </c>
      <c r="C33" s="129" t="s">
        <v>542</v>
      </c>
      <c r="D33" s="126">
        <v>2000</v>
      </c>
      <c r="E33" s="126">
        <v>200</v>
      </c>
      <c r="F33" s="126">
        <v>300</v>
      </c>
      <c r="G33" s="126">
        <v>2500</v>
      </c>
      <c r="H33" s="127">
        <v>1500</v>
      </c>
    </row>
    <row r="34" spans="1:8">
      <c r="A34" s="33" t="s">
        <v>145</v>
      </c>
      <c r="B34" s="33" t="s">
        <v>530</v>
      </c>
      <c r="C34" s="129" t="s">
        <v>543</v>
      </c>
      <c r="D34" s="126">
        <v>2175</v>
      </c>
      <c r="E34" s="126">
        <v>200</v>
      </c>
      <c r="F34" s="126">
        <v>300</v>
      </c>
      <c r="G34" s="126">
        <v>2675</v>
      </c>
      <c r="H34" s="127">
        <v>1500</v>
      </c>
    </row>
    <row r="35" spans="1:8">
      <c r="A35" s="33" t="s">
        <v>145</v>
      </c>
      <c r="B35" s="33" t="s">
        <v>530</v>
      </c>
      <c r="C35" s="129" t="s">
        <v>544</v>
      </c>
      <c r="D35" s="126">
        <v>2065</v>
      </c>
      <c r="E35" s="126">
        <v>100</v>
      </c>
      <c r="F35" s="126">
        <v>300</v>
      </c>
      <c r="G35" s="126">
        <v>2465</v>
      </c>
      <c r="H35" s="127">
        <v>1500</v>
      </c>
    </row>
    <row r="36" spans="1:8">
      <c r="A36" s="33" t="s">
        <v>145</v>
      </c>
      <c r="B36" s="33" t="s">
        <v>530</v>
      </c>
      <c r="C36" s="125" t="s">
        <v>377</v>
      </c>
      <c r="D36" s="126">
        <v>2845</v>
      </c>
      <c r="E36" s="126">
        <v>165</v>
      </c>
      <c r="F36" s="126">
        <v>400</v>
      </c>
      <c r="G36" s="126">
        <v>3410</v>
      </c>
      <c r="H36" s="127">
        <v>1410</v>
      </c>
    </row>
    <row r="37" spans="1:8">
      <c r="A37" s="33" t="s">
        <v>145</v>
      </c>
      <c r="B37" s="33" t="s">
        <v>530</v>
      </c>
      <c r="C37" s="125" t="s">
        <v>225</v>
      </c>
      <c r="D37" s="126">
        <v>31500</v>
      </c>
      <c r="E37" s="126">
        <v>3500</v>
      </c>
      <c r="F37" s="126">
        <v>3000</v>
      </c>
      <c r="G37" s="126">
        <v>38000</v>
      </c>
      <c r="H37" s="127">
        <v>0</v>
      </c>
    </row>
    <row r="38" spans="1:8">
      <c r="A38" s="33" t="s">
        <v>145</v>
      </c>
      <c r="B38" s="33" t="s">
        <v>530</v>
      </c>
      <c r="C38" s="125" t="s">
        <v>285</v>
      </c>
      <c r="D38" s="126">
        <v>990</v>
      </c>
      <c r="E38" s="126">
        <v>125</v>
      </c>
      <c r="F38" s="126">
        <v>300</v>
      </c>
      <c r="G38" s="126">
        <v>1415</v>
      </c>
      <c r="H38" s="127">
        <v>405</v>
      </c>
    </row>
    <row r="39" spans="1:8">
      <c r="A39" s="33" t="s">
        <v>145</v>
      </c>
      <c r="B39" s="33" t="s">
        <v>530</v>
      </c>
      <c r="C39" s="125" t="s">
        <v>237</v>
      </c>
      <c r="D39" s="126">
        <v>1720</v>
      </c>
      <c r="E39" s="126">
        <v>125</v>
      </c>
      <c r="F39" s="126">
        <v>300</v>
      </c>
      <c r="G39" s="126">
        <v>2145</v>
      </c>
      <c r="H39" s="127">
        <v>145</v>
      </c>
    </row>
    <row r="40" spans="1:8">
      <c r="A40" s="33" t="s">
        <v>145</v>
      </c>
      <c r="B40" s="33" t="s">
        <v>530</v>
      </c>
      <c r="C40" s="129" t="s">
        <v>545</v>
      </c>
      <c r="D40" s="126">
        <v>2060</v>
      </c>
      <c r="E40" s="126">
        <v>120</v>
      </c>
      <c r="F40" s="126">
        <v>300</v>
      </c>
      <c r="G40" s="126">
        <v>2480</v>
      </c>
      <c r="H40" s="127">
        <v>1500</v>
      </c>
    </row>
    <row r="41" spans="1:8">
      <c r="A41" s="33" t="s">
        <v>145</v>
      </c>
      <c r="B41" s="33" t="s">
        <v>530</v>
      </c>
      <c r="C41" s="129" t="s">
        <v>394</v>
      </c>
      <c r="D41" s="126">
        <v>3290</v>
      </c>
      <c r="E41" s="126">
        <v>120</v>
      </c>
      <c r="F41" s="126">
        <v>295</v>
      </c>
      <c r="G41" s="126">
        <v>3705</v>
      </c>
      <c r="H41" s="127">
        <v>2540</v>
      </c>
    </row>
    <row r="42" spans="1:8">
      <c r="A42" s="33" t="s">
        <v>145</v>
      </c>
      <c r="B42" s="33" t="s">
        <v>530</v>
      </c>
      <c r="C42" s="125" t="s">
        <v>398</v>
      </c>
      <c r="D42" s="126">
        <v>2775</v>
      </c>
      <c r="E42" s="126">
        <v>215</v>
      </c>
      <c r="F42" s="126">
        <v>530</v>
      </c>
      <c r="G42" s="126">
        <v>3520</v>
      </c>
      <c r="H42" s="127">
        <v>1580</v>
      </c>
    </row>
    <row r="43" spans="1:8">
      <c r="A43" s="33" t="s">
        <v>145</v>
      </c>
      <c r="B43" s="33" t="s">
        <v>530</v>
      </c>
      <c r="C43" s="125" t="s">
        <v>393</v>
      </c>
      <c r="D43" s="126">
        <v>2640</v>
      </c>
      <c r="E43" s="126">
        <v>140</v>
      </c>
      <c r="F43" s="126">
        <v>285</v>
      </c>
      <c r="G43" s="126">
        <v>3065</v>
      </c>
      <c r="H43" s="127">
        <v>1900</v>
      </c>
    </row>
    <row r="44" spans="1:8">
      <c r="A44" s="33" t="s">
        <v>145</v>
      </c>
      <c r="B44" s="33" t="s">
        <v>530</v>
      </c>
      <c r="C44" s="129" t="s">
        <v>546</v>
      </c>
      <c r="D44" s="126">
        <v>2060</v>
      </c>
      <c r="E44" s="126">
        <v>120</v>
      </c>
      <c r="F44" s="126">
        <v>300</v>
      </c>
      <c r="G44" s="126">
        <v>2480</v>
      </c>
      <c r="H44" s="127">
        <v>1500</v>
      </c>
    </row>
    <row r="45" spans="1:8">
      <c r="A45" s="33" t="s">
        <v>145</v>
      </c>
      <c r="B45" s="33" t="s">
        <v>530</v>
      </c>
      <c r="C45" s="129" t="s">
        <v>547</v>
      </c>
      <c r="D45" s="126">
        <v>2180</v>
      </c>
      <c r="E45" s="126">
        <v>150</v>
      </c>
      <c r="F45" s="126">
        <v>500</v>
      </c>
      <c r="G45" s="126">
        <v>2830</v>
      </c>
      <c r="H45" s="127">
        <v>1500</v>
      </c>
    </row>
    <row r="46" spans="1:8">
      <c r="A46" s="33" t="s">
        <v>145</v>
      </c>
      <c r="B46" s="33" t="s">
        <v>530</v>
      </c>
      <c r="C46" s="125" t="s">
        <v>387</v>
      </c>
      <c r="D46" s="126">
        <v>2605</v>
      </c>
      <c r="E46" s="126">
        <v>100</v>
      </c>
      <c r="F46" s="126">
        <v>240</v>
      </c>
      <c r="G46" s="126">
        <v>2945</v>
      </c>
      <c r="H46" s="127">
        <v>1970</v>
      </c>
    </row>
    <row r="47" spans="1:8">
      <c r="A47" s="33" t="s">
        <v>145</v>
      </c>
      <c r="B47" s="33" t="s">
        <v>530</v>
      </c>
      <c r="C47" s="125" t="s">
        <v>274</v>
      </c>
      <c r="D47" s="126">
        <v>11700</v>
      </c>
      <c r="E47" s="126">
        <v>1700</v>
      </c>
      <c r="F47" s="126">
        <v>2600</v>
      </c>
      <c r="G47" s="126">
        <v>16000</v>
      </c>
      <c r="H47" s="127">
        <v>0</v>
      </c>
    </row>
    <row r="48" spans="1:8">
      <c r="A48" s="33" t="s">
        <v>145</v>
      </c>
      <c r="B48" s="33" t="s">
        <v>530</v>
      </c>
      <c r="C48" s="125" t="s">
        <v>276</v>
      </c>
      <c r="D48" s="126">
        <v>9900</v>
      </c>
      <c r="E48" s="126">
        <v>1700</v>
      </c>
      <c r="F48" s="126">
        <v>2400</v>
      </c>
      <c r="G48" s="126">
        <v>14000</v>
      </c>
      <c r="H48" s="127">
        <v>0</v>
      </c>
    </row>
    <row r="49" spans="1:8">
      <c r="A49" s="33" t="s">
        <v>145</v>
      </c>
      <c r="B49" s="33" t="s">
        <v>530</v>
      </c>
      <c r="C49" s="129" t="s">
        <v>548</v>
      </c>
      <c r="D49" s="126">
        <v>2500</v>
      </c>
      <c r="E49" s="126">
        <v>200</v>
      </c>
      <c r="F49" s="126">
        <v>500</v>
      </c>
      <c r="G49" s="126">
        <v>3200</v>
      </c>
      <c r="H49" s="127">
        <v>1500</v>
      </c>
    </row>
    <row r="50" spans="1:8">
      <c r="A50" s="33" t="s">
        <v>145</v>
      </c>
      <c r="B50" s="33" t="s">
        <v>530</v>
      </c>
      <c r="C50" s="129" t="s">
        <v>549</v>
      </c>
      <c r="D50" s="126">
        <v>2500</v>
      </c>
      <c r="E50" s="126">
        <v>200</v>
      </c>
      <c r="F50" s="126">
        <v>500</v>
      </c>
      <c r="G50" s="126">
        <v>3200</v>
      </c>
      <c r="H50" s="127">
        <v>1500</v>
      </c>
    </row>
    <row r="51" spans="1:8">
      <c r="A51" s="33" t="s">
        <v>145</v>
      </c>
      <c r="B51" s="33" t="s">
        <v>530</v>
      </c>
      <c r="C51" s="125" t="s">
        <v>380</v>
      </c>
      <c r="D51" s="126">
        <v>2705</v>
      </c>
      <c r="E51" s="126">
        <v>200</v>
      </c>
      <c r="F51" s="126">
        <v>500</v>
      </c>
      <c r="G51" s="126">
        <v>3405</v>
      </c>
      <c r="H51" s="127">
        <v>1735</v>
      </c>
    </row>
    <row r="52" spans="1:8">
      <c r="A52" s="33" t="s">
        <v>145</v>
      </c>
      <c r="B52" s="33" t="s">
        <v>530</v>
      </c>
      <c r="C52" s="125" t="s">
        <v>189</v>
      </c>
      <c r="D52" s="126">
        <v>2875</v>
      </c>
      <c r="E52" s="126">
        <v>200</v>
      </c>
      <c r="F52" s="126">
        <v>500</v>
      </c>
      <c r="G52" s="126">
        <v>3575</v>
      </c>
      <c r="H52" s="127">
        <v>1935</v>
      </c>
    </row>
    <row r="53" spans="1:8">
      <c r="A53" s="33" t="s">
        <v>145</v>
      </c>
      <c r="B53" s="33" t="s">
        <v>530</v>
      </c>
      <c r="C53" s="129" t="s">
        <v>467</v>
      </c>
      <c r="D53" s="126">
        <v>1760</v>
      </c>
      <c r="E53" s="126">
        <v>120</v>
      </c>
      <c r="F53" s="126">
        <v>120</v>
      </c>
      <c r="G53" s="126">
        <v>2000</v>
      </c>
      <c r="H53" s="127">
        <v>1500</v>
      </c>
    </row>
    <row r="54" spans="1:8">
      <c r="A54" s="33" t="s">
        <v>145</v>
      </c>
      <c r="B54" s="33" t="s">
        <v>530</v>
      </c>
      <c r="C54" s="125"/>
      <c r="D54" s="126"/>
      <c r="E54" s="126"/>
      <c r="F54" s="126"/>
      <c r="G54" s="126"/>
      <c r="H54" s="127"/>
    </row>
    <row r="55" spans="1:8">
      <c r="A55" s="33" t="s">
        <v>145</v>
      </c>
      <c r="B55" s="33" t="s">
        <v>530</v>
      </c>
      <c r="C55" s="129" t="s">
        <v>201</v>
      </c>
      <c r="D55" s="126">
        <v>3675</v>
      </c>
      <c r="E55" s="126">
        <v>235</v>
      </c>
      <c r="F55" s="126">
        <v>590</v>
      </c>
      <c r="G55" s="126">
        <v>4500</v>
      </c>
      <c r="H55" s="127">
        <v>1500</v>
      </c>
    </row>
    <row r="56" spans="1:8">
      <c r="A56" s="33" t="s">
        <v>145</v>
      </c>
      <c r="B56" s="33" t="s">
        <v>530</v>
      </c>
      <c r="C56" s="129" t="s">
        <v>612</v>
      </c>
      <c r="D56" s="126">
        <v>2470</v>
      </c>
      <c r="E56" s="126">
        <v>200</v>
      </c>
      <c r="F56" s="126">
        <v>500</v>
      </c>
      <c r="G56" s="126">
        <v>3170</v>
      </c>
      <c r="H56" s="127">
        <v>1500</v>
      </c>
    </row>
    <row r="57" spans="1:8">
      <c r="A57" s="33" t="s">
        <v>145</v>
      </c>
      <c r="B57" s="33" t="s">
        <v>530</v>
      </c>
      <c r="C57" s="125" t="s">
        <v>400</v>
      </c>
      <c r="D57" s="126">
        <v>2820</v>
      </c>
      <c r="E57" s="126">
        <v>150</v>
      </c>
      <c r="F57" s="126">
        <v>500</v>
      </c>
      <c r="G57" s="126">
        <v>3470</v>
      </c>
      <c r="H57" s="127">
        <v>1470</v>
      </c>
    </row>
    <row r="58" spans="1:8">
      <c r="A58" s="33" t="s">
        <v>145</v>
      </c>
      <c r="B58" s="33" t="s">
        <v>530</v>
      </c>
      <c r="C58" s="129" t="s">
        <v>550</v>
      </c>
      <c r="D58" s="126">
        <v>1970</v>
      </c>
      <c r="E58" s="126">
        <v>150</v>
      </c>
      <c r="F58" s="126">
        <v>180</v>
      </c>
      <c r="G58" s="126">
        <v>2300</v>
      </c>
      <c r="H58" s="127">
        <v>1500</v>
      </c>
    </row>
    <row r="59" spans="1:8">
      <c r="A59" s="33" t="s">
        <v>145</v>
      </c>
      <c r="B59" s="33" t="s">
        <v>530</v>
      </c>
      <c r="C59" s="125" t="s">
        <v>399</v>
      </c>
      <c r="D59" s="126">
        <v>4445</v>
      </c>
      <c r="E59" s="126">
        <v>155</v>
      </c>
      <c r="F59" s="126">
        <v>400</v>
      </c>
      <c r="G59" s="126">
        <v>5000</v>
      </c>
      <c r="H59" s="127">
        <v>0</v>
      </c>
    </row>
    <row r="60" spans="1:8">
      <c r="A60" s="33" t="s">
        <v>145</v>
      </c>
      <c r="B60" s="33" t="s">
        <v>530</v>
      </c>
      <c r="C60" s="125" t="s">
        <v>181</v>
      </c>
      <c r="D60" s="126">
        <v>3255</v>
      </c>
      <c r="E60" s="126">
        <v>350</v>
      </c>
      <c r="F60" s="126">
        <v>1000</v>
      </c>
      <c r="G60" s="126">
        <v>4605</v>
      </c>
      <c r="H60" s="127">
        <v>1105</v>
      </c>
    </row>
    <row r="61" spans="1:8">
      <c r="A61" s="33" t="s">
        <v>145</v>
      </c>
      <c r="B61" s="33" t="s">
        <v>530</v>
      </c>
      <c r="C61" s="125" t="s">
        <v>251</v>
      </c>
      <c r="D61" s="126">
        <v>3175</v>
      </c>
      <c r="E61" s="126">
        <v>300</v>
      </c>
      <c r="F61" s="126">
        <v>600</v>
      </c>
      <c r="G61" s="126">
        <v>4075</v>
      </c>
      <c r="H61" s="127">
        <v>1575</v>
      </c>
    </row>
    <row r="62" spans="1:8">
      <c r="A62" s="33" t="s">
        <v>145</v>
      </c>
      <c r="B62" s="33" t="s">
        <v>530</v>
      </c>
      <c r="C62" s="129" t="s">
        <v>551</v>
      </c>
      <c r="D62" s="126">
        <v>2055</v>
      </c>
      <c r="E62" s="126">
        <v>70</v>
      </c>
      <c r="F62" s="126">
        <v>175</v>
      </c>
      <c r="G62" s="126">
        <v>2300</v>
      </c>
      <c r="H62" s="127">
        <v>1500</v>
      </c>
    </row>
    <row r="63" spans="1:8">
      <c r="A63" s="33" t="s">
        <v>145</v>
      </c>
      <c r="B63" s="33" t="s">
        <v>530</v>
      </c>
      <c r="C63" s="129" t="s">
        <v>404</v>
      </c>
      <c r="D63" s="126">
        <v>4040</v>
      </c>
      <c r="E63" s="126">
        <v>500</v>
      </c>
      <c r="F63" s="126">
        <v>700</v>
      </c>
      <c r="G63" s="126">
        <v>5240</v>
      </c>
      <c r="H63" s="127">
        <v>2615</v>
      </c>
    </row>
    <row r="64" spans="1:8">
      <c r="A64" s="33" t="s">
        <v>145</v>
      </c>
      <c r="B64" s="33" t="s">
        <v>530</v>
      </c>
      <c r="C64" s="125" t="s">
        <v>179</v>
      </c>
      <c r="D64" s="126">
        <v>4055</v>
      </c>
      <c r="E64" s="126">
        <v>330</v>
      </c>
      <c r="F64" s="126">
        <v>615</v>
      </c>
      <c r="G64" s="126">
        <v>5000</v>
      </c>
      <c r="H64" s="127">
        <v>0</v>
      </c>
    </row>
    <row r="65" spans="1:8">
      <c r="A65" s="33" t="s">
        <v>145</v>
      </c>
      <c r="B65" s="33" t="s">
        <v>530</v>
      </c>
      <c r="C65" s="129" t="s">
        <v>552</v>
      </c>
      <c r="D65" s="126">
        <v>2500</v>
      </c>
      <c r="E65" s="126">
        <v>200</v>
      </c>
      <c r="F65" s="126">
        <v>500</v>
      </c>
      <c r="G65" s="126">
        <v>3200</v>
      </c>
      <c r="H65" s="127">
        <v>1500</v>
      </c>
    </row>
    <row r="66" spans="1:8">
      <c r="A66" s="33" t="s">
        <v>145</v>
      </c>
      <c r="B66" s="33" t="s">
        <v>530</v>
      </c>
      <c r="C66" s="129" t="s">
        <v>553</v>
      </c>
      <c r="D66" s="126">
        <v>1850</v>
      </c>
      <c r="E66" s="126">
        <v>70</v>
      </c>
      <c r="F66" s="126">
        <v>180</v>
      </c>
      <c r="G66" s="126">
        <v>2100</v>
      </c>
      <c r="H66" s="127">
        <v>1500</v>
      </c>
    </row>
    <row r="67" spans="1:8">
      <c r="A67" s="33" t="s">
        <v>145</v>
      </c>
      <c r="B67" s="33" t="s">
        <v>530</v>
      </c>
      <c r="C67" s="129" t="s">
        <v>554</v>
      </c>
      <c r="D67" s="126">
        <v>2180</v>
      </c>
      <c r="E67" s="126">
        <v>200</v>
      </c>
      <c r="F67" s="126">
        <v>390</v>
      </c>
      <c r="G67" s="126">
        <v>2770</v>
      </c>
      <c r="H67" s="127">
        <v>1500</v>
      </c>
    </row>
    <row r="68" spans="1:8">
      <c r="A68" s="33" t="s">
        <v>145</v>
      </c>
      <c r="B68" s="33" t="s">
        <v>530</v>
      </c>
      <c r="C68" s="125" t="s">
        <v>168</v>
      </c>
      <c r="D68" s="126">
        <v>2300</v>
      </c>
      <c r="E68" s="126">
        <v>250</v>
      </c>
      <c r="F68" s="126">
        <v>460</v>
      </c>
      <c r="G68" s="126">
        <v>3010</v>
      </c>
      <c r="H68" s="127">
        <v>1410</v>
      </c>
    </row>
    <row r="69" spans="1:8">
      <c r="A69" s="33" t="s">
        <v>145</v>
      </c>
      <c r="B69" s="33" t="s">
        <v>530</v>
      </c>
      <c r="C69" s="129" t="s">
        <v>555</v>
      </c>
      <c r="D69" s="126">
        <v>2500</v>
      </c>
      <c r="E69" s="126">
        <v>200</v>
      </c>
      <c r="F69" s="126">
        <v>500</v>
      </c>
      <c r="G69" s="126">
        <v>3200</v>
      </c>
      <c r="H69" s="127">
        <v>1500</v>
      </c>
    </row>
    <row r="70" spans="1:8">
      <c r="A70" s="33" t="s">
        <v>145</v>
      </c>
      <c r="B70" s="33" t="s">
        <v>530</v>
      </c>
      <c r="C70" s="129" t="s">
        <v>267</v>
      </c>
      <c r="D70" s="126">
        <v>1770</v>
      </c>
      <c r="E70" s="126">
        <v>150</v>
      </c>
      <c r="F70" s="126">
        <v>180</v>
      </c>
      <c r="G70" s="126">
        <v>2100</v>
      </c>
      <c r="H70" s="127">
        <v>1500</v>
      </c>
    </row>
    <row r="71" spans="1:8">
      <c r="A71" s="33" t="s">
        <v>145</v>
      </c>
      <c r="B71" s="33" t="s">
        <v>530</v>
      </c>
      <c r="C71" s="129" t="s">
        <v>556</v>
      </c>
      <c r="D71" s="126">
        <v>2070</v>
      </c>
      <c r="E71" s="126">
        <v>200</v>
      </c>
      <c r="F71" s="126">
        <v>280</v>
      </c>
      <c r="G71" s="126">
        <v>2550</v>
      </c>
      <c r="H71" s="127">
        <v>1500</v>
      </c>
    </row>
    <row r="72" spans="1:8">
      <c r="A72" s="33" t="s">
        <v>145</v>
      </c>
      <c r="B72" s="33" t="s">
        <v>530</v>
      </c>
      <c r="C72" s="129" t="s">
        <v>382</v>
      </c>
      <c r="D72" s="126">
        <v>3540</v>
      </c>
      <c r="E72" s="126">
        <v>200</v>
      </c>
      <c r="F72" s="126">
        <v>500</v>
      </c>
      <c r="G72" s="126">
        <v>4240</v>
      </c>
      <c r="H72" s="127">
        <v>2540</v>
      </c>
    </row>
    <row r="73" spans="1:8">
      <c r="A73" s="33" t="s">
        <v>145</v>
      </c>
      <c r="B73" s="33" t="s">
        <v>530</v>
      </c>
      <c r="C73" s="129" t="s">
        <v>414</v>
      </c>
      <c r="D73" s="126">
        <v>3220</v>
      </c>
      <c r="E73" s="126">
        <v>150</v>
      </c>
      <c r="F73" s="126">
        <v>500</v>
      </c>
      <c r="G73" s="126">
        <v>3870</v>
      </c>
      <c r="H73" s="127">
        <v>2540</v>
      </c>
    </row>
    <row r="74" spans="1:8">
      <c r="A74" s="33" t="s">
        <v>145</v>
      </c>
      <c r="B74" s="33" t="s">
        <v>530</v>
      </c>
      <c r="C74" s="125" t="s">
        <v>412</v>
      </c>
      <c r="D74" s="126">
        <v>2705</v>
      </c>
      <c r="E74" s="126">
        <v>200</v>
      </c>
      <c r="F74" s="126">
        <v>500</v>
      </c>
      <c r="G74" s="126">
        <v>3405</v>
      </c>
      <c r="H74" s="127">
        <v>1735</v>
      </c>
    </row>
    <row r="75" spans="1:8">
      <c r="A75" s="33" t="s">
        <v>145</v>
      </c>
      <c r="B75" s="33" t="s">
        <v>530</v>
      </c>
      <c r="C75" s="129" t="s">
        <v>557</v>
      </c>
      <c r="D75" s="126">
        <v>2070</v>
      </c>
      <c r="E75" s="126">
        <v>200</v>
      </c>
      <c r="F75" s="126">
        <v>280</v>
      </c>
      <c r="G75" s="126">
        <v>2550</v>
      </c>
      <c r="H75" s="127">
        <v>1500</v>
      </c>
    </row>
    <row r="76" spans="1:8">
      <c r="A76" s="33" t="s">
        <v>145</v>
      </c>
      <c r="B76" s="33" t="s">
        <v>530</v>
      </c>
      <c r="C76" s="125" t="s">
        <v>435</v>
      </c>
      <c r="D76" s="126">
        <v>2820</v>
      </c>
      <c r="E76" s="126">
        <v>150</v>
      </c>
      <c r="F76" s="126">
        <v>500</v>
      </c>
      <c r="G76" s="126">
        <v>3470</v>
      </c>
      <c r="H76" s="127">
        <v>1470</v>
      </c>
    </row>
    <row r="77" spans="1:8">
      <c r="A77" s="33" t="s">
        <v>145</v>
      </c>
      <c r="B77" s="33" t="s">
        <v>530</v>
      </c>
      <c r="C77" s="129" t="s">
        <v>558</v>
      </c>
      <c r="D77" s="126">
        <v>2500</v>
      </c>
      <c r="E77" s="126">
        <v>200</v>
      </c>
      <c r="F77" s="126">
        <v>500</v>
      </c>
      <c r="G77" s="126">
        <v>3200</v>
      </c>
      <c r="H77" s="127">
        <v>1500</v>
      </c>
    </row>
    <row r="78" spans="1:8">
      <c r="A78" s="33" t="s">
        <v>145</v>
      </c>
      <c r="B78" s="33" t="s">
        <v>530</v>
      </c>
      <c r="C78" s="129" t="s">
        <v>221</v>
      </c>
      <c r="D78" s="126">
        <v>14700</v>
      </c>
      <c r="E78" s="126">
        <v>2950</v>
      </c>
      <c r="F78" s="126">
        <v>7350</v>
      </c>
      <c r="G78" s="126">
        <v>25000</v>
      </c>
      <c r="H78" s="127">
        <v>0</v>
      </c>
    </row>
    <row r="79" spans="1:8">
      <c r="A79" s="33" t="s">
        <v>145</v>
      </c>
      <c r="B79" s="33" t="s">
        <v>530</v>
      </c>
      <c r="C79" s="129" t="s">
        <v>490</v>
      </c>
      <c r="D79" s="126">
        <v>1760</v>
      </c>
      <c r="E79" s="126">
        <v>120</v>
      </c>
      <c r="F79" s="126">
        <v>120</v>
      </c>
      <c r="G79" s="126">
        <v>2000</v>
      </c>
      <c r="H79" s="127">
        <v>1500</v>
      </c>
    </row>
    <row r="80" spans="1:8">
      <c r="A80" s="33" t="s">
        <v>145</v>
      </c>
      <c r="B80" s="33" t="s">
        <v>530</v>
      </c>
      <c r="C80" s="125" t="s">
        <v>194</v>
      </c>
      <c r="D80" s="126">
        <v>4445</v>
      </c>
      <c r="E80" s="126">
        <v>155</v>
      </c>
      <c r="F80" s="126">
        <v>400</v>
      </c>
      <c r="G80" s="126">
        <v>5000</v>
      </c>
      <c r="H80" s="127">
        <v>0</v>
      </c>
    </row>
    <row r="81" spans="1:8">
      <c r="A81" s="33" t="s">
        <v>145</v>
      </c>
      <c r="B81" s="33" t="s">
        <v>530</v>
      </c>
      <c r="C81" s="125" t="s">
        <v>411</v>
      </c>
      <c r="D81" s="126">
        <v>3175</v>
      </c>
      <c r="E81" s="126">
        <v>300</v>
      </c>
      <c r="F81" s="126">
        <v>600</v>
      </c>
      <c r="G81" s="126">
        <v>4075</v>
      </c>
      <c r="H81" s="127">
        <v>1575</v>
      </c>
    </row>
    <row r="82" spans="1:8">
      <c r="A82" s="33" t="s">
        <v>145</v>
      </c>
      <c r="B82" s="33" t="s">
        <v>530</v>
      </c>
      <c r="C82" s="125" t="s">
        <v>277</v>
      </c>
      <c r="D82" s="126">
        <v>5000</v>
      </c>
      <c r="E82" s="126">
        <v>800</v>
      </c>
      <c r="F82" s="126">
        <v>1200</v>
      </c>
      <c r="G82" s="126">
        <v>7000</v>
      </c>
      <c r="H82" s="127">
        <v>0</v>
      </c>
    </row>
    <row r="83" spans="1:8">
      <c r="A83" s="33" t="s">
        <v>145</v>
      </c>
      <c r="B83" s="33" t="s">
        <v>530</v>
      </c>
      <c r="C83" s="129" t="s">
        <v>218</v>
      </c>
      <c r="D83" s="126">
        <v>27500</v>
      </c>
      <c r="E83" s="126">
        <v>3500</v>
      </c>
      <c r="F83" s="126">
        <v>3000</v>
      </c>
      <c r="G83" s="126">
        <v>34000</v>
      </c>
      <c r="H83" s="127">
        <v>0</v>
      </c>
    </row>
    <row r="84" spans="1:8">
      <c r="A84" s="33" t="s">
        <v>145</v>
      </c>
      <c r="B84" s="33" t="s">
        <v>530</v>
      </c>
      <c r="C84" s="129" t="s">
        <v>559</v>
      </c>
      <c r="D84" s="126">
        <v>1754</v>
      </c>
      <c r="E84" s="126">
        <v>116</v>
      </c>
      <c r="F84" s="126">
        <v>230</v>
      </c>
      <c r="G84" s="126">
        <v>2100</v>
      </c>
      <c r="H84" s="127">
        <v>1500</v>
      </c>
    </row>
    <row r="85" spans="1:8">
      <c r="A85" s="33" t="s">
        <v>145</v>
      </c>
      <c r="B85" s="33" t="s">
        <v>530</v>
      </c>
      <c r="C85" s="129" t="s">
        <v>413</v>
      </c>
      <c r="D85" s="126">
        <v>3540</v>
      </c>
      <c r="E85" s="126">
        <v>200</v>
      </c>
      <c r="F85" s="126">
        <v>500</v>
      </c>
      <c r="G85" s="126">
        <v>4240</v>
      </c>
      <c r="H85" s="127">
        <v>2540</v>
      </c>
    </row>
    <row r="86" spans="1:8">
      <c r="A86" s="33" t="s">
        <v>145</v>
      </c>
      <c r="B86" s="33" t="s">
        <v>530</v>
      </c>
      <c r="C86" s="129" t="s">
        <v>381</v>
      </c>
      <c r="D86" s="126">
        <v>3540</v>
      </c>
      <c r="E86" s="126">
        <v>200</v>
      </c>
      <c r="F86" s="126">
        <v>500</v>
      </c>
      <c r="G86" s="126">
        <v>4240</v>
      </c>
      <c r="H86" s="127">
        <v>2540</v>
      </c>
    </row>
    <row r="87" spans="1:8">
      <c r="A87" s="33" t="s">
        <v>145</v>
      </c>
      <c r="B87" s="33" t="s">
        <v>530</v>
      </c>
      <c r="C87" s="129" t="s">
        <v>560</v>
      </c>
      <c r="D87" s="126">
        <v>1770</v>
      </c>
      <c r="E87" s="126">
        <v>150</v>
      </c>
      <c r="F87" s="126">
        <v>180</v>
      </c>
      <c r="G87" s="126">
        <v>2100</v>
      </c>
      <c r="H87" s="127">
        <v>1500</v>
      </c>
    </row>
    <row r="88" spans="1:8">
      <c r="A88" s="33" t="s">
        <v>145</v>
      </c>
      <c r="B88" s="33" t="s">
        <v>530</v>
      </c>
      <c r="C88" s="129" t="s">
        <v>561</v>
      </c>
      <c r="D88" s="126">
        <v>1754</v>
      </c>
      <c r="E88" s="126">
        <v>116</v>
      </c>
      <c r="F88" s="126">
        <v>230</v>
      </c>
      <c r="G88" s="126">
        <v>2100</v>
      </c>
      <c r="H88" s="127">
        <v>1500</v>
      </c>
    </row>
    <row r="89" spans="1:8">
      <c r="A89" s="33" t="s">
        <v>145</v>
      </c>
      <c r="B89" s="33" t="s">
        <v>530</v>
      </c>
      <c r="C89" s="129" t="s">
        <v>562</v>
      </c>
      <c r="D89" s="126">
        <v>1970</v>
      </c>
      <c r="E89" s="126">
        <v>150</v>
      </c>
      <c r="F89" s="126">
        <v>180</v>
      </c>
      <c r="G89" s="126">
        <v>2300</v>
      </c>
      <c r="H89" s="127">
        <v>1500</v>
      </c>
    </row>
    <row r="90" spans="1:8">
      <c r="A90" s="33" t="s">
        <v>145</v>
      </c>
      <c r="B90" s="33" t="s">
        <v>530</v>
      </c>
      <c r="C90" s="129" t="s">
        <v>563</v>
      </c>
      <c r="D90" s="126">
        <v>1770</v>
      </c>
      <c r="E90" s="126">
        <v>150</v>
      </c>
      <c r="F90" s="126">
        <v>180</v>
      </c>
      <c r="G90" s="126">
        <v>2100</v>
      </c>
      <c r="H90" s="127">
        <v>1500</v>
      </c>
    </row>
    <row r="91" spans="1:8">
      <c r="A91" s="33" t="s">
        <v>145</v>
      </c>
      <c r="B91" s="33" t="s">
        <v>530</v>
      </c>
      <c r="C91" s="129" t="s">
        <v>465</v>
      </c>
      <c r="D91" s="126">
        <v>240</v>
      </c>
      <c r="E91" s="126">
        <v>180</v>
      </c>
      <c r="F91" s="126">
        <v>180</v>
      </c>
      <c r="G91" s="126">
        <v>600</v>
      </c>
      <c r="H91" s="127">
        <v>0</v>
      </c>
    </row>
    <row r="92" spans="1:8">
      <c r="A92" s="33" t="s">
        <v>145</v>
      </c>
      <c r="B92" s="33" t="s">
        <v>530</v>
      </c>
      <c r="C92" s="125" t="s">
        <v>263</v>
      </c>
      <c r="D92" s="126">
        <v>440</v>
      </c>
      <c r="E92" s="126">
        <v>180</v>
      </c>
      <c r="F92" s="126">
        <v>180</v>
      </c>
      <c r="G92" s="126">
        <v>800</v>
      </c>
      <c r="H92" s="127">
        <v>0</v>
      </c>
    </row>
    <row r="93" spans="1:8">
      <c r="A93" s="33" t="s">
        <v>145</v>
      </c>
      <c r="B93" s="33" t="s">
        <v>530</v>
      </c>
      <c r="C93" s="125" t="s">
        <v>228</v>
      </c>
      <c r="D93" s="126">
        <v>440</v>
      </c>
      <c r="E93" s="126">
        <v>180</v>
      </c>
      <c r="F93" s="126">
        <v>180</v>
      </c>
      <c r="G93" s="126">
        <v>800</v>
      </c>
      <c r="H93" s="127">
        <v>0</v>
      </c>
    </row>
    <row r="94" spans="1:8">
      <c r="A94" s="33" t="s">
        <v>145</v>
      </c>
      <c r="B94" s="33" t="s">
        <v>530</v>
      </c>
      <c r="C94" s="125" t="s">
        <v>230</v>
      </c>
      <c r="D94" s="126">
        <v>440</v>
      </c>
      <c r="E94" s="126">
        <v>180</v>
      </c>
      <c r="F94" s="126">
        <v>180</v>
      </c>
      <c r="G94" s="126">
        <v>800</v>
      </c>
      <c r="H94" s="127">
        <v>0</v>
      </c>
    </row>
    <row r="95" spans="1:8">
      <c r="A95" s="33"/>
      <c r="B95" s="33"/>
      <c r="C95" s="125" t="s">
        <v>643</v>
      </c>
      <c r="D95" s="126">
        <v>1520</v>
      </c>
      <c r="E95" s="126">
        <v>200</v>
      </c>
      <c r="F95" s="126">
        <v>280</v>
      </c>
      <c r="G95" s="126">
        <v>2000</v>
      </c>
      <c r="H95" s="127">
        <v>0</v>
      </c>
    </row>
    <row r="96" spans="1:8">
      <c r="A96" s="33" t="s">
        <v>145</v>
      </c>
      <c r="B96" s="33" t="s">
        <v>530</v>
      </c>
      <c r="C96" s="125" t="s">
        <v>264</v>
      </c>
      <c r="D96" s="126">
        <v>440</v>
      </c>
      <c r="E96" s="126">
        <v>180</v>
      </c>
      <c r="F96" s="126">
        <v>180</v>
      </c>
      <c r="G96" s="126">
        <v>800</v>
      </c>
      <c r="H96" s="127">
        <v>0</v>
      </c>
    </row>
    <row r="97" spans="1:8">
      <c r="A97" s="33" t="s">
        <v>145</v>
      </c>
      <c r="B97" s="33" t="s">
        <v>530</v>
      </c>
      <c r="C97" s="125" t="s">
        <v>265</v>
      </c>
      <c r="D97" s="126">
        <v>440</v>
      </c>
      <c r="E97" s="126">
        <v>180</v>
      </c>
      <c r="F97" s="126">
        <v>180</v>
      </c>
      <c r="G97" s="126">
        <v>800</v>
      </c>
      <c r="H97" s="127">
        <v>0</v>
      </c>
    </row>
    <row r="98" spans="1:8">
      <c r="A98" s="33" t="s">
        <v>145</v>
      </c>
      <c r="B98" s="33" t="s">
        <v>530</v>
      </c>
      <c r="C98" s="125" t="s">
        <v>288</v>
      </c>
      <c r="D98" s="126">
        <v>440</v>
      </c>
      <c r="E98" s="126">
        <v>180</v>
      </c>
      <c r="F98" s="126">
        <v>180</v>
      </c>
      <c r="G98" s="126">
        <v>800</v>
      </c>
      <c r="H98" s="127">
        <v>0</v>
      </c>
    </row>
    <row r="99" spans="1:8">
      <c r="A99" s="33"/>
      <c r="B99" s="33"/>
      <c r="C99" s="125" t="s">
        <v>642</v>
      </c>
      <c r="D99" s="126">
        <v>1520</v>
      </c>
      <c r="E99" s="126">
        <v>200</v>
      </c>
      <c r="F99" s="126">
        <v>280</v>
      </c>
      <c r="G99" s="126">
        <v>2000</v>
      </c>
      <c r="H99" s="127">
        <v>0</v>
      </c>
    </row>
    <row r="100" spans="1:8">
      <c r="A100" s="33" t="s">
        <v>145</v>
      </c>
      <c r="B100" s="33" t="s">
        <v>530</v>
      </c>
      <c r="C100" s="125" t="s">
        <v>216</v>
      </c>
      <c r="D100" s="126">
        <v>14700</v>
      </c>
      <c r="E100" s="126">
        <v>2950</v>
      </c>
      <c r="F100" s="126">
        <v>7350</v>
      </c>
      <c r="G100" s="126">
        <v>25000</v>
      </c>
      <c r="H100" s="127">
        <v>0</v>
      </c>
    </row>
    <row r="101" spans="1:8">
      <c r="A101" s="33" t="s">
        <v>145</v>
      </c>
      <c r="B101" s="33" t="s">
        <v>530</v>
      </c>
      <c r="C101" s="125" t="s">
        <v>29</v>
      </c>
      <c r="D101" s="126">
        <v>1520</v>
      </c>
      <c r="E101" s="126">
        <v>200</v>
      </c>
      <c r="F101" s="126">
        <v>280</v>
      </c>
      <c r="G101" s="126">
        <v>2000</v>
      </c>
      <c r="H101" s="127">
        <v>0</v>
      </c>
    </row>
    <row r="102" spans="1:8">
      <c r="A102" s="33" t="s">
        <v>145</v>
      </c>
      <c r="B102" s="33" t="s">
        <v>530</v>
      </c>
      <c r="C102" s="129" t="s">
        <v>610</v>
      </c>
      <c r="D102" s="126">
        <v>1940</v>
      </c>
      <c r="E102" s="126">
        <v>180</v>
      </c>
      <c r="F102" s="126">
        <v>180</v>
      </c>
      <c r="G102" s="126">
        <v>2300</v>
      </c>
      <c r="H102" s="127">
        <v>1500</v>
      </c>
    </row>
    <row r="103" spans="1:8">
      <c r="A103" s="33" t="s">
        <v>145</v>
      </c>
      <c r="B103" s="33" t="s">
        <v>530</v>
      </c>
      <c r="C103" s="125" t="s">
        <v>231</v>
      </c>
      <c r="D103" s="126">
        <v>440</v>
      </c>
      <c r="E103" s="126">
        <v>180</v>
      </c>
      <c r="F103" s="126">
        <v>180</v>
      </c>
      <c r="G103" s="126">
        <v>800</v>
      </c>
      <c r="H103" s="127">
        <v>0</v>
      </c>
    </row>
    <row r="104" spans="1:8">
      <c r="A104" s="33" t="s">
        <v>145</v>
      </c>
      <c r="B104" s="33" t="s">
        <v>530</v>
      </c>
      <c r="C104" s="125" t="s">
        <v>215</v>
      </c>
      <c r="D104" s="126">
        <v>1520</v>
      </c>
      <c r="E104" s="126">
        <v>200</v>
      </c>
      <c r="F104" s="126">
        <v>280</v>
      </c>
      <c r="G104" s="126">
        <v>2000</v>
      </c>
      <c r="H104" s="127">
        <v>0</v>
      </c>
    </row>
    <row r="105" spans="1:8">
      <c r="A105" s="33" t="s">
        <v>145</v>
      </c>
      <c r="B105" s="33" t="s">
        <v>530</v>
      </c>
      <c r="C105" s="125" t="s">
        <v>278</v>
      </c>
      <c r="D105" s="126">
        <v>1520</v>
      </c>
      <c r="E105" s="126">
        <v>200</v>
      </c>
      <c r="F105" s="126">
        <v>280</v>
      </c>
      <c r="G105" s="126">
        <v>2000</v>
      </c>
      <c r="H105" s="127">
        <v>0</v>
      </c>
    </row>
    <row r="106" spans="1:8">
      <c r="A106" s="39" t="s">
        <v>145</v>
      </c>
      <c r="B106" s="39" t="s">
        <v>530</v>
      </c>
      <c r="C106" s="125" t="s">
        <v>286</v>
      </c>
      <c r="D106" s="126">
        <v>1520</v>
      </c>
      <c r="E106" s="126">
        <v>200</v>
      </c>
      <c r="F106" s="126">
        <v>280</v>
      </c>
      <c r="G106" s="126">
        <v>2000</v>
      </c>
      <c r="H106" s="127">
        <v>0</v>
      </c>
    </row>
    <row r="107" spans="1:8">
      <c r="A107" s="130"/>
      <c r="B107" s="130"/>
      <c r="C107" s="125" t="s">
        <v>396</v>
      </c>
      <c r="D107" s="126">
        <v>440</v>
      </c>
      <c r="E107" s="126">
        <v>180</v>
      </c>
      <c r="F107" s="126">
        <v>180</v>
      </c>
      <c r="G107" s="126">
        <v>800</v>
      </c>
      <c r="H107" s="127">
        <v>0</v>
      </c>
    </row>
    <row r="108" spans="1:8">
      <c r="A108" s="130"/>
      <c r="B108" s="130"/>
      <c r="C108" s="125" t="s">
        <v>397</v>
      </c>
      <c r="D108" s="126">
        <v>440</v>
      </c>
      <c r="E108" s="126">
        <v>180</v>
      </c>
      <c r="F108" s="126">
        <v>180</v>
      </c>
      <c r="G108" s="126">
        <v>800</v>
      </c>
      <c r="H108" s="127">
        <v>0</v>
      </c>
    </row>
    <row r="109" spans="1:8">
      <c r="A109" s="130"/>
      <c r="B109" s="130"/>
      <c r="C109" s="125" t="s">
        <v>289</v>
      </c>
      <c r="D109" s="126">
        <v>440</v>
      </c>
      <c r="E109" s="126">
        <v>180</v>
      </c>
      <c r="F109" s="126">
        <v>180</v>
      </c>
      <c r="G109" s="126">
        <v>800</v>
      </c>
      <c r="H109" s="127">
        <v>0</v>
      </c>
    </row>
    <row r="110" spans="1:8">
      <c r="A110" s="33" t="s">
        <v>145</v>
      </c>
      <c r="B110" s="33" t="s">
        <v>530</v>
      </c>
      <c r="C110" s="125" t="s">
        <v>405</v>
      </c>
      <c r="D110" s="126">
        <v>1520</v>
      </c>
      <c r="E110" s="126">
        <v>200</v>
      </c>
      <c r="F110" s="126">
        <v>280</v>
      </c>
      <c r="G110" s="126">
        <v>2000</v>
      </c>
      <c r="H110" s="127">
        <v>0</v>
      </c>
    </row>
    <row r="111" spans="1:8">
      <c r="A111" s="33" t="s">
        <v>145</v>
      </c>
      <c r="B111" s="33" t="s">
        <v>530</v>
      </c>
      <c r="C111" s="125" t="s">
        <v>395</v>
      </c>
      <c r="D111" s="126">
        <v>440</v>
      </c>
      <c r="E111" s="126">
        <v>180</v>
      </c>
      <c r="F111" s="126">
        <v>180</v>
      </c>
      <c r="G111" s="126">
        <v>800</v>
      </c>
      <c r="H111" s="127">
        <v>0</v>
      </c>
    </row>
    <row r="112" spans="1:8">
      <c r="A112" s="33" t="s">
        <v>145</v>
      </c>
      <c r="B112" s="33" t="s">
        <v>530</v>
      </c>
      <c r="C112" s="125" t="s">
        <v>46</v>
      </c>
      <c r="D112" s="126">
        <v>100</v>
      </c>
      <c r="E112" s="126">
        <v>0</v>
      </c>
      <c r="F112" s="126">
        <v>0</v>
      </c>
      <c r="G112" s="126">
        <v>100</v>
      </c>
      <c r="H112" s="127">
        <v>0</v>
      </c>
    </row>
    <row r="113" spans="1:8">
      <c r="A113" s="33" t="s">
        <v>145</v>
      </c>
      <c r="B113" s="33" t="s">
        <v>530</v>
      </c>
      <c r="C113" s="129" t="s">
        <v>564</v>
      </c>
      <c r="D113" s="126">
        <v>1970</v>
      </c>
      <c r="E113" s="126">
        <v>150</v>
      </c>
      <c r="F113" s="126">
        <v>180</v>
      </c>
      <c r="G113" s="126">
        <v>2300</v>
      </c>
      <c r="H113" s="127">
        <v>1500</v>
      </c>
    </row>
    <row r="114" spans="1:8">
      <c r="A114" s="33" t="s">
        <v>145</v>
      </c>
      <c r="B114" s="33" t="s">
        <v>530</v>
      </c>
      <c r="C114" s="125" t="s">
        <v>219</v>
      </c>
      <c r="D114" s="126">
        <v>31500</v>
      </c>
      <c r="E114" s="126">
        <v>3500</v>
      </c>
      <c r="F114" s="126">
        <v>3000</v>
      </c>
      <c r="G114" s="126">
        <v>38000</v>
      </c>
      <c r="H114" s="127">
        <v>0</v>
      </c>
    </row>
    <row r="115" spans="1:8">
      <c r="A115" s="39" t="s">
        <v>145</v>
      </c>
      <c r="B115" s="39" t="s">
        <v>530</v>
      </c>
      <c r="D115" s="3"/>
    </row>
    <row r="116" spans="1:8">
      <c r="A116" s="33" t="s">
        <v>145</v>
      </c>
      <c r="B116" s="33" t="s">
        <v>530</v>
      </c>
      <c r="C116" s="125" t="s">
        <v>501</v>
      </c>
      <c r="D116" s="126">
        <v>1520</v>
      </c>
      <c r="E116" s="126">
        <v>200</v>
      </c>
      <c r="F116" s="126">
        <v>280</v>
      </c>
      <c r="G116" s="126">
        <v>2000</v>
      </c>
      <c r="H116" s="127">
        <v>0</v>
      </c>
    </row>
    <row r="117" spans="1:8">
      <c r="A117" s="33" t="s">
        <v>145</v>
      </c>
      <c r="B117" s="33" t="s">
        <v>530</v>
      </c>
      <c r="C117" s="129" t="s">
        <v>290</v>
      </c>
      <c r="D117" s="126">
        <v>3250</v>
      </c>
      <c r="E117" s="126">
        <v>70</v>
      </c>
      <c r="F117" s="126">
        <v>180</v>
      </c>
      <c r="G117" s="126">
        <v>3500</v>
      </c>
      <c r="H117" s="127">
        <v>1500</v>
      </c>
    </row>
    <row r="118" spans="1:8">
      <c r="A118" s="33" t="s">
        <v>145</v>
      </c>
      <c r="B118" s="33" t="s">
        <v>530</v>
      </c>
      <c r="C118" s="129" t="s">
        <v>492</v>
      </c>
      <c r="D118" s="126">
        <v>2840</v>
      </c>
      <c r="E118" s="126">
        <v>190</v>
      </c>
      <c r="F118" s="126">
        <v>470</v>
      </c>
      <c r="G118" s="126">
        <v>3500</v>
      </c>
      <c r="H118" s="127">
        <v>1500</v>
      </c>
    </row>
    <row r="119" spans="1:8">
      <c r="A119" s="33" t="s">
        <v>145</v>
      </c>
      <c r="B119" s="33" t="s">
        <v>530</v>
      </c>
      <c r="C119" s="129" t="s">
        <v>291</v>
      </c>
      <c r="D119" s="126">
        <v>2800</v>
      </c>
      <c r="E119" s="126">
        <v>200</v>
      </c>
      <c r="F119" s="126">
        <v>500</v>
      </c>
      <c r="G119" s="126">
        <v>3500</v>
      </c>
      <c r="H119" s="127">
        <v>1500</v>
      </c>
    </row>
    <row r="120" spans="1:8">
      <c r="A120" s="33" t="s">
        <v>145</v>
      </c>
      <c r="B120" s="33" t="s">
        <v>530</v>
      </c>
      <c r="C120" s="129" t="s">
        <v>565</v>
      </c>
      <c r="D120" s="126">
        <v>2500</v>
      </c>
      <c r="E120" s="126">
        <v>200</v>
      </c>
      <c r="F120" s="126">
        <v>500</v>
      </c>
      <c r="G120" s="126">
        <v>3200</v>
      </c>
      <c r="H120" s="127">
        <v>1500</v>
      </c>
    </row>
    <row r="121" spans="1:8">
      <c r="A121" s="33" t="s">
        <v>145</v>
      </c>
      <c r="B121" s="33" t="s">
        <v>530</v>
      </c>
      <c r="C121" s="129" t="s">
        <v>494</v>
      </c>
      <c r="D121" s="126">
        <v>2800</v>
      </c>
      <c r="E121" s="126">
        <v>200</v>
      </c>
      <c r="F121" s="126">
        <v>500</v>
      </c>
      <c r="G121" s="126">
        <v>3500</v>
      </c>
      <c r="H121" s="127">
        <v>1500</v>
      </c>
    </row>
    <row r="122" spans="1:8">
      <c r="A122" s="33" t="s">
        <v>145</v>
      </c>
      <c r="B122" s="33" t="s">
        <v>530</v>
      </c>
      <c r="C122" s="125" t="s">
        <v>443</v>
      </c>
      <c r="D122" s="126">
        <v>2425</v>
      </c>
      <c r="E122" s="126">
        <v>200</v>
      </c>
      <c r="F122" s="126">
        <v>500</v>
      </c>
      <c r="G122" s="126">
        <v>3125</v>
      </c>
      <c r="H122" s="127">
        <v>1425</v>
      </c>
    </row>
    <row r="123" spans="1:8">
      <c r="A123" s="33" t="s">
        <v>145</v>
      </c>
      <c r="B123" s="33" t="s">
        <v>530</v>
      </c>
      <c r="C123" s="125" t="s">
        <v>191</v>
      </c>
      <c r="D123" s="126">
        <v>3175</v>
      </c>
      <c r="E123" s="126">
        <v>200</v>
      </c>
      <c r="F123" s="126">
        <v>200</v>
      </c>
      <c r="G123" s="126">
        <v>3575</v>
      </c>
      <c r="H123" s="127">
        <v>1575</v>
      </c>
    </row>
    <row r="124" spans="1:8">
      <c r="A124" s="33" t="s">
        <v>145</v>
      </c>
      <c r="B124" s="33" t="s">
        <v>530</v>
      </c>
      <c r="C124" s="125" t="s">
        <v>444</v>
      </c>
      <c r="D124" s="126">
        <v>2825</v>
      </c>
      <c r="E124" s="126">
        <v>100</v>
      </c>
      <c r="F124" s="126">
        <v>200</v>
      </c>
      <c r="G124" s="126">
        <v>3125</v>
      </c>
      <c r="H124" s="127">
        <v>2225</v>
      </c>
    </row>
    <row r="125" spans="1:8">
      <c r="A125" s="33" t="s">
        <v>145</v>
      </c>
      <c r="B125" s="33" t="s">
        <v>530</v>
      </c>
      <c r="C125" s="125" t="s">
        <v>203</v>
      </c>
      <c r="D125" s="126">
        <v>2380</v>
      </c>
      <c r="E125" s="126">
        <v>200</v>
      </c>
      <c r="F125" s="126">
        <v>500</v>
      </c>
      <c r="G125" s="126">
        <v>3080</v>
      </c>
      <c r="H125" s="127">
        <v>1530</v>
      </c>
    </row>
    <row r="126" spans="1:8">
      <c r="A126" s="33" t="s">
        <v>145</v>
      </c>
      <c r="B126" s="33" t="s">
        <v>530</v>
      </c>
      <c r="C126" s="129" t="s">
        <v>566</v>
      </c>
      <c r="D126" s="126">
        <v>2030</v>
      </c>
      <c r="E126" s="126">
        <v>120</v>
      </c>
      <c r="F126" s="126">
        <v>300</v>
      </c>
      <c r="G126" s="126">
        <v>2450</v>
      </c>
      <c r="H126" s="127">
        <v>1500</v>
      </c>
    </row>
    <row r="127" spans="1:8">
      <c r="A127" s="33" t="s">
        <v>145</v>
      </c>
      <c r="B127" s="33" t="s">
        <v>530</v>
      </c>
      <c r="C127" s="125" t="s">
        <v>208</v>
      </c>
      <c r="D127" s="126">
        <v>2860</v>
      </c>
      <c r="E127" s="126">
        <v>340</v>
      </c>
      <c r="F127" s="126">
        <v>280</v>
      </c>
      <c r="G127" s="126">
        <v>3480</v>
      </c>
      <c r="H127" s="127">
        <v>980</v>
      </c>
    </row>
    <row r="128" spans="1:8">
      <c r="A128" s="33" t="s">
        <v>145</v>
      </c>
      <c r="B128" s="33" t="s">
        <v>530</v>
      </c>
      <c r="C128" s="129" t="s">
        <v>567</v>
      </c>
      <c r="D128" s="126">
        <v>2500</v>
      </c>
      <c r="E128" s="126">
        <v>200</v>
      </c>
      <c r="F128" s="126">
        <v>500</v>
      </c>
      <c r="G128" s="126">
        <v>3200</v>
      </c>
      <c r="H128" s="127">
        <v>1500</v>
      </c>
    </row>
    <row r="129" spans="1:8">
      <c r="A129" s="33" t="s">
        <v>145</v>
      </c>
      <c r="B129" s="33" t="s">
        <v>530</v>
      </c>
      <c r="C129" s="129" t="s">
        <v>568</v>
      </c>
      <c r="D129" s="126">
        <v>1930</v>
      </c>
      <c r="E129" s="126">
        <v>90</v>
      </c>
      <c r="F129" s="126">
        <v>220</v>
      </c>
      <c r="G129" s="126">
        <v>2240</v>
      </c>
      <c r="H129" s="127">
        <v>1500</v>
      </c>
    </row>
    <row r="130" spans="1:8">
      <c r="A130" s="33" t="s">
        <v>145</v>
      </c>
      <c r="B130" s="33" t="s">
        <v>530</v>
      </c>
      <c r="C130" s="125" t="s">
        <v>210</v>
      </c>
      <c r="D130" s="126">
        <v>2770</v>
      </c>
      <c r="E130" s="126">
        <v>120</v>
      </c>
      <c r="F130" s="126">
        <v>300</v>
      </c>
      <c r="G130" s="126">
        <v>3190</v>
      </c>
      <c r="H130" s="127">
        <v>1490</v>
      </c>
    </row>
    <row r="131" spans="1:8">
      <c r="A131" s="33" t="s">
        <v>145</v>
      </c>
      <c r="B131" s="33" t="s">
        <v>530</v>
      </c>
      <c r="C131" s="129" t="s">
        <v>569</v>
      </c>
      <c r="D131" s="126">
        <v>2500</v>
      </c>
      <c r="E131" s="126">
        <v>200</v>
      </c>
      <c r="F131" s="126">
        <v>500</v>
      </c>
      <c r="G131" s="126">
        <v>3200</v>
      </c>
      <c r="H131" s="127">
        <v>1500</v>
      </c>
    </row>
    <row r="132" spans="1:8">
      <c r="A132" s="33" t="s">
        <v>145</v>
      </c>
      <c r="B132" s="33" t="s">
        <v>530</v>
      </c>
      <c r="C132" s="129" t="s">
        <v>570</v>
      </c>
      <c r="D132" s="126">
        <v>1930</v>
      </c>
      <c r="E132" s="126">
        <v>90</v>
      </c>
      <c r="F132" s="126">
        <v>220</v>
      </c>
      <c r="G132" s="126">
        <v>2240</v>
      </c>
      <c r="H132" s="127">
        <v>1500</v>
      </c>
    </row>
    <row r="133" spans="1:8">
      <c r="A133" s="33" t="s">
        <v>145</v>
      </c>
      <c r="B133" s="33" t="s">
        <v>530</v>
      </c>
      <c r="C133" s="125" t="s">
        <v>391</v>
      </c>
      <c r="D133" s="126">
        <v>2250</v>
      </c>
      <c r="E133" s="126">
        <v>90</v>
      </c>
      <c r="F133" s="126">
        <v>220</v>
      </c>
      <c r="G133" s="126">
        <v>2560</v>
      </c>
      <c r="H133" s="127">
        <v>1820</v>
      </c>
    </row>
    <row r="134" spans="1:8">
      <c r="A134" s="33" t="s">
        <v>145</v>
      </c>
      <c r="B134" s="33" t="s">
        <v>530</v>
      </c>
      <c r="C134" s="129" t="s">
        <v>571</v>
      </c>
      <c r="D134" s="126">
        <v>2500</v>
      </c>
      <c r="E134" s="126">
        <v>200</v>
      </c>
      <c r="F134" s="126">
        <v>500</v>
      </c>
      <c r="G134" s="126">
        <v>3200</v>
      </c>
      <c r="H134" s="127">
        <v>1500</v>
      </c>
    </row>
    <row r="135" spans="1:8">
      <c r="A135" s="33" t="s">
        <v>145</v>
      </c>
      <c r="B135" s="33" t="s">
        <v>530</v>
      </c>
      <c r="C135" s="125" t="s">
        <v>214</v>
      </c>
      <c r="D135" s="126">
        <v>2805</v>
      </c>
      <c r="E135" s="126">
        <v>140</v>
      </c>
      <c r="F135" s="126">
        <v>250</v>
      </c>
      <c r="G135" s="126">
        <v>3195</v>
      </c>
      <c r="H135" s="127">
        <v>1295</v>
      </c>
    </row>
    <row r="136" spans="1:8">
      <c r="A136" s="33" t="s">
        <v>145</v>
      </c>
      <c r="B136" s="33" t="s">
        <v>530</v>
      </c>
      <c r="C136" s="129" t="s">
        <v>572</v>
      </c>
      <c r="D136" s="126">
        <v>2030</v>
      </c>
      <c r="E136" s="126">
        <v>120</v>
      </c>
      <c r="F136" s="126">
        <v>300</v>
      </c>
      <c r="G136" s="126">
        <v>2450</v>
      </c>
      <c r="H136" s="127">
        <v>1500</v>
      </c>
    </row>
    <row r="137" spans="1:8">
      <c r="A137" s="33" t="s">
        <v>145</v>
      </c>
      <c r="B137" s="33" t="s">
        <v>530</v>
      </c>
      <c r="C137" s="125" t="s">
        <v>392</v>
      </c>
      <c r="D137" s="126">
        <v>2500</v>
      </c>
      <c r="E137" s="126">
        <v>200</v>
      </c>
      <c r="F137" s="126">
        <v>500</v>
      </c>
      <c r="G137" s="126">
        <v>3200</v>
      </c>
      <c r="H137" s="127">
        <v>1500</v>
      </c>
    </row>
    <row r="138" spans="1:8">
      <c r="A138" s="33" t="s">
        <v>145</v>
      </c>
      <c r="B138" s="33" t="s">
        <v>530</v>
      </c>
      <c r="C138" s="129" t="s">
        <v>573</v>
      </c>
      <c r="D138" s="126">
        <v>2030</v>
      </c>
      <c r="E138" s="126">
        <v>120</v>
      </c>
      <c r="F138" s="126">
        <v>300</v>
      </c>
      <c r="G138" s="126">
        <v>2450</v>
      </c>
      <c r="H138" s="127">
        <v>1500</v>
      </c>
    </row>
    <row r="139" spans="1:8">
      <c r="A139" s="33" t="s">
        <v>145</v>
      </c>
      <c r="B139" s="33" t="s">
        <v>530</v>
      </c>
      <c r="C139" s="125" t="s">
        <v>390</v>
      </c>
      <c r="D139" s="126">
        <v>2290</v>
      </c>
      <c r="E139" s="126">
        <v>100</v>
      </c>
      <c r="F139" s="126">
        <v>300</v>
      </c>
      <c r="G139" s="126">
        <v>2690</v>
      </c>
      <c r="H139" s="127">
        <v>1740</v>
      </c>
    </row>
    <row r="140" spans="1:8">
      <c r="A140" s="33" t="s">
        <v>145</v>
      </c>
      <c r="B140" s="33" t="s">
        <v>530</v>
      </c>
      <c r="C140" s="129" t="s">
        <v>574</v>
      </c>
      <c r="D140" s="126">
        <v>2350</v>
      </c>
      <c r="E140" s="126">
        <v>200</v>
      </c>
      <c r="F140" s="126">
        <v>500</v>
      </c>
      <c r="G140" s="126">
        <v>3050</v>
      </c>
      <c r="H140" s="127">
        <v>1500</v>
      </c>
    </row>
    <row r="141" spans="1:8">
      <c r="A141" s="33" t="s">
        <v>145</v>
      </c>
      <c r="B141" s="33" t="s">
        <v>530</v>
      </c>
      <c r="C141" s="125" t="s">
        <v>388</v>
      </c>
      <c r="D141" s="126">
        <v>3450</v>
      </c>
      <c r="E141" s="126">
        <v>150</v>
      </c>
      <c r="F141" s="126">
        <v>400</v>
      </c>
      <c r="G141" s="126">
        <v>4000</v>
      </c>
      <c r="H141" s="127">
        <v>0</v>
      </c>
    </row>
    <row r="142" spans="1:8">
      <c r="A142" s="33" t="s">
        <v>145</v>
      </c>
      <c r="B142" s="33" t="s">
        <v>530</v>
      </c>
      <c r="C142" s="125" t="s">
        <v>389</v>
      </c>
      <c r="D142" s="126">
        <v>2655</v>
      </c>
      <c r="E142" s="126">
        <v>150</v>
      </c>
      <c r="F142" s="126">
        <v>250</v>
      </c>
      <c r="G142" s="126">
        <v>3055</v>
      </c>
      <c r="H142" s="127">
        <v>1890</v>
      </c>
    </row>
    <row r="143" spans="1:8">
      <c r="A143" s="33" t="s">
        <v>145</v>
      </c>
      <c r="B143" s="33" t="s">
        <v>530</v>
      </c>
      <c r="C143" s="125" t="s">
        <v>195</v>
      </c>
      <c r="D143" s="126">
        <v>2800</v>
      </c>
      <c r="E143" s="126">
        <v>170</v>
      </c>
      <c r="F143" s="126">
        <v>550</v>
      </c>
      <c r="G143" s="126">
        <v>3520</v>
      </c>
      <c r="H143" s="127">
        <v>1520</v>
      </c>
    </row>
    <row r="144" spans="1:8">
      <c r="A144" s="33" t="s">
        <v>145</v>
      </c>
      <c r="B144" s="33" t="s">
        <v>530</v>
      </c>
      <c r="C144" s="125" t="s">
        <v>211</v>
      </c>
      <c r="D144" s="126">
        <v>2250</v>
      </c>
      <c r="E144" s="126">
        <v>90</v>
      </c>
      <c r="F144" s="126">
        <v>220</v>
      </c>
      <c r="G144" s="126">
        <v>2560</v>
      </c>
      <c r="H144" s="127">
        <v>1820</v>
      </c>
    </row>
    <row r="145" spans="1:8">
      <c r="A145" s="33" t="s">
        <v>145</v>
      </c>
      <c r="B145" s="33" t="s">
        <v>530</v>
      </c>
      <c r="C145" s="125" t="s">
        <v>385</v>
      </c>
      <c r="D145" s="126">
        <v>2740</v>
      </c>
      <c r="E145" s="126">
        <v>210</v>
      </c>
      <c r="F145" s="126">
        <v>200</v>
      </c>
      <c r="G145" s="126">
        <v>3150</v>
      </c>
      <c r="H145" s="127">
        <v>1650</v>
      </c>
    </row>
    <row r="146" spans="1:8">
      <c r="A146" s="33" t="s">
        <v>145</v>
      </c>
      <c r="B146" s="33" t="s">
        <v>530</v>
      </c>
      <c r="C146" s="125" t="s">
        <v>205</v>
      </c>
      <c r="D146" s="126">
        <v>2840</v>
      </c>
      <c r="E146" s="126">
        <v>470</v>
      </c>
      <c r="F146" s="126">
        <v>1180</v>
      </c>
      <c r="G146" s="126">
        <v>4490</v>
      </c>
      <c r="H146" s="127">
        <v>1080</v>
      </c>
    </row>
    <row r="147" spans="1:8">
      <c r="A147" s="33" t="s">
        <v>145</v>
      </c>
      <c r="B147" s="33" t="s">
        <v>530</v>
      </c>
      <c r="C147" s="129" t="s">
        <v>575</v>
      </c>
      <c r="D147" s="126">
        <v>2500</v>
      </c>
      <c r="E147" s="126">
        <v>200</v>
      </c>
      <c r="F147" s="126">
        <v>500</v>
      </c>
      <c r="G147" s="126">
        <v>3200</v>
      </c>
      <c r="H147" s="127">
        <v>1500</v>
      </c>
    </row>
    <row r="148" spans="1:8">
      <c r="A148" s="33" t="s">
        <v>145</v>
      </c>
      <c r="B148" s="33" t="s">
        <v>530</v>
      </c>
      <c r="C148" s="125" t="s">
        <v>386</v>
      </c>
      <c r="D148" s="126">
        <v>2750</v>
      </c>
      <c r="E148" s="126">
        <v>260</v>
      </c>
      <c r="F148" s="126">
        <v>640</v>
      </c>
      <c r="G148" s="126">
        <v>3650</v>
      </c>
      <c r="H148" s="127">
        <v>1670</v>
      </c>
    </row>
    <row r="149" spans="1:8">
      <c r="A149" s="33" t="s">
        <v>145</v>
      </c>
      <c r="B149" s="33" t="s">
        <v>530</v>
      </c>
      <c r="C149" s="125" t="s">
        <v>206</v>
      </c>
      <c r="D149" s="126">
        <v>3600</v>
      </c>
      <c r="E149" s="126">
        <v>260</v>
      </c>
      <c r="F149" s="126">
        <v>640</v>
      </c>
      <c r="G149" s="126">
        <v>4500</v>
      </c>
      <c r="H149" s="127">
        <v>0</v>
      </c>
    </row>
    <row r="150" spans="1:8">
      <c r="A150" s="33" t="s">
        <v>145</v>
      </c>
      <c r="B150" s="33" t="s">
        <v>530</v>
      </c>
      <c r="C150" s="125" t="s">
        <v>241</v>
      </c>
      <c r="D150" s="126">
        <v>1530</v>
      </c>
      <c r="E150" s="126">
        <v>200</v>
      </c>
      <c r="F150" s="126">
        <v>400</v>
      </c>
      <c r="G150" s="126">
        <v>2130</v>
      </c>
      <c r="H150" s="127">
        <v>130</v>
      </c>
    </row>
    <row r="151" spans="1:8">
      <c r="A151" s="33" t="s">
        <v>145</v>
      </c>
      <c r="B151" s="33" t="s">
        <v>530</v>
      </c>
      <c r="C151" s="129" t="s">
        <v>183</v>
      </c>
      <c r="D151" s="126">
        <v>5540</v>
      </c>
      <c r="E151" s="126">
        <v>300</v>
      </c>
      <c r="F151" s="126">
        <v>700</v>
      </c>
      <c r="G151" s="126">
        <v>6540</v>
      </c>
      <c r="H151" s="127">
        <v>2540</v>
      </c>
    </row>
    <row r="152" spans="1:8">
      <c r="A152" s="33" t="s">
        <v>145</v>
      </c>
      <c r="B152" s="33" t="s">
        <v>530</v>
      </c>
      <c r="C152" s="129" t="s">
        <v>576</v>
      </c>
      <c r="D152" s="126">
        <v>3090</v>
      </c>
      <c r="E152" s="126">
        <v>280</v>
      </c>
      <c r="F152" s="126">
        <v>700</v>
      </c>
      <c r="G152" s="126">
        <v>4070</v>
      </c>
      <c r="H152" s="127">
        <v>1500</v>
      </c>
    </row>
    <row r="153" spans="1:8">
      <c r="A153" s="33" t="s">
        <v>145</v>
      </c>
      <c r="B153" s="33" t="s">
        <v>530</v>
      </c>
      <c r="C153" s="129" t="s">
        <v>577</v>
      </c>
      <c r="D153" s="126">
        <v>2500</v>
      </c>
      <c r="E153" s="126">
        <v>200</v>
      </c>
      <c r="F153" s="126">
        <v>500</v>
      </c>
      <c r="G153" s="126">
        <v>3200</v>
      </c>
      <c r="H153" s="127">
        <v>1500</v>
      </c>
    </row>
    <row r="154" spans="1:8">
      <c r="A154" s="33" t="s">
        <v>145</v>
      </c>
      <c r="B154" s="33" t="s">
        <v>530</v>
      </c>
      <c r="C154" s="129" t="s">
        <v>578</v>
      </c>
      <c r="D154" s="126">
        <v>2500</v>
      </c>
      <c r="E154" s="126">
        <v>200</v>
      </c>
      <c r="F154" s="126">
        <v>500</v>
      </c>
      <c r="G154" s="126">
        <v>3200</v>
      </c>
      <c r="H154" s="127">
        <v>1500</v>
      </c>
    </row>
    <row r="155" spans="1:8">
      <c r="A155" s="33" t="s">
        <v>145</v>
      </c>
      <c r="B155" s="33" t="s">
        <v>530</v>
      </c>
      <c r="C155" s="125" t="s">
        <v>180</v>
      </c>
      <c r="D155" s="126">
        <v>2975</v>
      </c>
      <c r="E155" s="126">
        <v>200</v>
      </c>
      <c r="F155" s="126">
        <v>400</v>
      </c>
      <c r="G155" s="126">
        <v>3575</v>
      </c>
      <c r="H155" s="127">
        <v>1575</v>
      </c>
    </row>
    <row r="156" spans="1:8">
      <c r="A156" s="33" t="s">
        <v>145</v>
      </c>
      <c r="B156" s="33" t="s">
        <v>530</v>
      </c>
      <c r="C156" s="125" t="s">
        <v>242</v>
      </c>
      <c r="D156" s="126">
        <v>1615</v>
      </c>
      <c r="E156" s="126">
        <v>200</v>
      </c>
      <c r="F156" s="126">
        <v>310</v>
      </c>
      <c r="G156" s="126">
        <v>2125</v>
      </c>
      <c r="H156" s="127">
        <v>125</v>
      </c>
    </row>
    <row r="157" spans="1:8">
      <c r="A157" s="33" t="s">
        <v>145</v>
      </c>
      <c r="B157" s="33" t="s">
        <v>530</v>
      </c>
      <c r="C157" s="125" t="s">
        <v>198</v>
      </c>
      <c r="D157" s="126">
        <v>2575</v>
      </c>
      <c r="E157" s="126">
        <v>70</v>
      </c>
      <c r="F157" s="126">
        <v>175</v>
      </c>
      <c r="G157" s="126">
        <v>2820</v>
      </c>
      <c r="H157" s="127">
        <v>2045</v>
      </c>
    </row>
    <row r="158" spans="1:8">
      <c r="A158" s="33" t="s">
        <v>145</v>
      </c>
      <c r="B158" s="33" t="s">
        <v>530</v>
      </c>
      <c r="C158" s="125" t="s">
        <v>196</v>
      </c>
      <c r="D158" s="126">
        <v>2575</v>
      </c>
      <c r="E158" s="126">
        <v>70</v>
      </c>
      <c r="F158" s="126">
        <v>175</v>
      </c>
      <c r="G158" s="126">
        <v>2820</v>
      </c>
      <c r="H158" s="127">
        <v>2045</v>
      </c>
    </row>
    <row r="159" spans="1:8">
      <c r="A159" s="33" t="s">
        <v>145</v>
      </c>
      <c r="B159" s="33" t="s">
        <v>530</v>
      </c>
      <c r="C159" s="129" t="s">
        <v>579</v>
      </c>
      <c r="D159" s="126">
        <v>2210</v>
      </c>
      <c r="E159" s="126">
        <v>155</v>
      </c>
      <c r="F159" s="126">
        <v>400</v>
      </c>
      <c r="G159" s="126">
        <v>2765</v>
      </c>
      <c r="H159" s="127">
        <v>1500</v>
      </c>
    </row>
    <row r="160" spans="1:8">
      <c r="A160" s="33" t="s">
        <v>145</v>
      </c>
      <c r="B160" s="33" t="s">
        <v>530</v>
      </c>
      <c r="C160" s="129" t="s">
        <v>469</v>
      </c>
      <c r="D160" s="126">
        <v>1740</v>
      </c>
      <c r="E160" s="126">
        <v>180</v>
      </c>
      <c r="F160" s="126">
        <v>180</v>
      </c>
      <c r="G160" s="126">
        <v>2100</v>
      </c>
      <c r="H160" s="127">
        <v>1500</v>
      </c>
    </row>
    <row r="161" spans="1:8">
      <c r="A161" s="33" t="s">
        <v>145</v>
      </c>
      <c r="B161" s="33" t="s">
        <v>530</v>
      </c>
      <c r="C161" s="125" t="s">
        <v>257</v>
      </c>
      <c r="D161" s="126">
        <v>3175</v>
      </c>
      <c r="E161" s="126">
        <v>100</v>
      </c>
      <c r="F161" s="126">
        <v>300</v>
      </c>
      <c r="G161" s="126">
        <v>3575</v>
      </c>
      <c r="H161" s="127">
        <v>1575</v>
      </c>
    </row>
    <row r="162" spans="1:8">
      <c r="A162" s="33" t="s">
        <v>145</v>
      </c>
      <c r="B162" s="33" t="s">
        <v>530</v>
      </c>
      <c r="C162" s="125" t="s">
        <v>416</v>
      </c>
      <c r="D162" s="126">
        <v>3190</v>
      </c>
      <c r="E162" s="126">
        <v>500</v>
      </c>
      <c r="F162" s="126">
        <v>1000</v>
      </c>
      <c r="G162" s="126">
        <v>4690</v>
      </c>
      <c r="H162" s="127">
        <v>1490</v>
      </c>
    </row>
    <row r="163" spans="1:8">
      <c r="A163" s="3" t="s">
        <v>145</v>
      </c>
      <c r="B163" s="3" t="s">
        <v>530</v>
      </c>
      <c r="C163" s="128" t="s">
        <v>293</v>
      </c>
      <c r="D163" s="126">
        <v>9900</v>
      </c>
      <c r="E163" s="126">
        <v>1700</v>
      </c>
      <c r="F163" s="126">
        <v>2400</v>
      </c>
      <c r="G163" s="126">
        <v>14000</v>
      </c>
      <c r="H163" s="127">
        <v>0</v>
      </c>
    </row>
    <row r="164" spans="1:8">
      <c r="A164" s="33" t="s">
        <v>145</v>
      </c>
      <c r="B164" s="33" t="s">
        <v>530</v>
      </c>
      <c r="C164" s="125" t="s">
        <v>48</v>
      </c>
      <c r="D164" s="126">
        <v>100</v>
      </c>
      <c r="E164" s="126">
        <v>0</v>
      </c>
      <c r="F164" s="126">
        <v>0</v>
      </c>
      <c r="G164" s="126">
        <v>100</v>
      </c>
      <c r="H164" s="127">
        <v>0</v>
      </c>
    </row>
    <row r="165" spans="1:8">
      <c r="A165" s="33" t="s">
        <v>145</v>
      </c>
      <c r="B165" s="33" t="s">
        <v>530</v>
      </c>
      <c r="C165" s="125" t="s">
        <v>262</v>
      </c>
      <c r="D165" s="126">
        <v>440</v>
      </c>
      <c r="E165" s="126">
        <v>180</v>
      </c>
      <c r="F165" s="126">
        <v>180</v>
      </c>
      <c r="G165" s="126">
        <v>800</v>
      </c>
      <c r="H165" s="127">
        <v>0</v>
      </c>
    </row>
    <row r="166" spans="1:8">
      <c r="A166" s="33" t="s">
        <v>145</v>
      </c>
      <c r="B166" s="33" t="s">
        <v>530</v>
      </c>
      <c r="C166" s="125" t="s">
        <v>45</v>
      </c>
      <c r="D166" s="126">
        <v>440</v>
      </c>
      <c r="E166" s="126">
        <v>180</v>
      </c>
      <c r="F166" s="126">
        <v>180</v>
      </c>
      <c r="G166" s="126">
        <v>800</v>
      </c>
      <c r="H166" s="127">
        <v>0</v>
      </c>
    </row>
    <row r="167" spans="1:8">
      <c r="A167" s="33" t="s">
        <v>145</v>
      </c>
      <c r="B167" s="33" t="s">
        <v>530</v>
      </c>
      <c r="C167" s="125" t="s">
        <v>28</v>
      </c>
      <c r="D167" s="126">
        <v>440</v>
      </c>
      <c r="E167" s="126">
        <v>180</v>
      </c>
      <c r="F167" s="126">
        <v>180</v>
      </c>
      <c r="G167" s="126">
        <v>800</v>
      </c>
      <c r="H167" s="127">
        <v>0</v>
      </c>
    </row>
    <row r="168" spans="1:8">
      <c r="A168" s="33" t="s">
        <v>145</v>
      </c>
      <c r="B168" s="33" t="s">
        <v>530</v>
      </c>
      <c r="C168" s="125" t="s">
        <v>233</v>
      </c>
      <c r="D168" s="126">
        <v>440</v>
      </c>
      <c r="E168" s="126">
        <v>180</v>
      </c>
      <c r="F168" s="126">
        <v>180</v>
      </c>
      <c r="G168" s="126">
        <v>800</v>
      </c>
      <c r="H168" s="127">
        <v>0</v>
      </c>
    </row>
    <row r="169" spans="1:8">
      <c r="A169" s="33" t="s">
        <v>145</v>
      </c>
      <c r="B169" s="33" t="s">
        <v>530</v>
      </c>
      <c r="C169" s="125" t="s">
        <v>235</v>
      </c>
      <c r="D169" s="126">
        <v>440</v>
      </c>
      <c r="E169" s="126">
        <v>180</v>
      </c>
      <c r="F169" s="126">
        <v>180</v>
      </c>
      <c r="G169" s="126">
        <v>800</v>
      </c>
      <c r="H169" s="127">
        <v>0</v>
      </c>
    </row>
    <row r="170" spans="1:8">
      <c r="A170" s="33" t="s">
        <v>145</v>
      </c>
      <c r="B170" s="33" t="s">
        <v>530</v>
      </c>
      <c r="C170" s="125" t="s">
        <v>298</v>
      </c>
      <c r="D170" s="126">
        <v>440</v>
      </c>
      <c r="E170" s="126">
        <v>180</v>
      </c>
      <c r="F170" s="126">
        <v>180</v>
      </c>
      <c r="G170" s="126">
        <v>800</v>
      </c>
      <c r="H170" s="127">
        <v>0</v>
      </c>
    </row>
    <row r="171" spans="1:8">
      <c r="A171" s="33"/>
      <c r="B171" s="33"/>
      <c r="C171" s="125" t="s">
        <v>645</v>
      </c>
      <c r="D171" s="126">
        <v>1520</v>
      </c>
      <c r="E171" s="126">
        <v>200</v>
      </c>
      <c r="F171" s="126">
        <v>280</v>
      </c>
      <c r="G171" s="126">
        <v>2000</v>
      </c>
      <c r="H171" s="127">
        <v>0</v>
      </c>
    </row>
    <row r="172" spans="1:8">
      <c r="A172" s="33"/>
      <c r="B172" s="33"/>
      <c r="C172" s="125" t="s">
        <v>640</v>
      </c>
      <c r="D172" s="126">
        <v>1520</v>
      </c>
      <c r="E172" s="126">
        <v>200</v>
      </c>
      <c r="F172" s="126">
        <v>280</v>
      </c>
      <c r="G172" s="126">
        <v>2000</v>
      </c>
      <c r="H172" s="127">
        <v>0</v>
      </c>
    </row>
    <row r="173" spans="1:8">
      <c r="A173" s="33" t="s">
        <v>145</v>
      </c>
      <c r="B173" s="33" t="s">
        <v>530</v>
      </c>
      <c r="C173" s="125" t="s">
        <v>30</v>
      </c>
      <c r="D173" s="126">
        <v>1520</v>
      </c>
      <c r="E173" s="126">
        <v>200</v>
      </c>
      <c r="F173" s="126">
        <v>280</v>
      </c>
      <c r="G173" s="126">
        <v>2000</v>
      </c>
      <c r="H173" s="127">
        <v>0</v>
      </c>
    </row>
    <row r="174" spans="1:8">
      <c r="A174" s="33" t="s">
        <v>145</v>
      </c>
      <c r="B174" s="33" t="s">
        <v>530</v>
      </c>
      <c r="C174" s="129" t="s">
        <v>611</v>
      </c>
      <c r="D174" s="126">
        <v>1940</v>
      </c>
      <c r="E174" s="126">
        <v>180</v>
      </c>
      <c r="F174" s="126">
        <v>180</v>
      </c>
      <c r="G174" s="126">
        <v>2300</v>
      </c>
      <c r="H174" s="127">
        <v>1500</v>
      </c>
    </row>
    <row r="175" spans="1:8">
      <c r="A175" s="33" t="s">
        <v>145</v>
      </c>
      <c r="B175" s="33" t="s">
        <v>530</v>
      </c>
      <c r="C175" s="125" t="s">
        <v>236</v>
      </c>
      <c r="D175" s="126">
        <v>440</v>
      </c>
      <c r="E175" s="126">
        <v>180</v>
      </c>
      <c r="F175" s="126">
        <v>180</v>
      </c>
      <c r="G175" s="126">
        <v>800</v>
      </c>
      <c r="H175" s="127">
        <v>0</v>
      </c>
    </row>
    <row r="176" spans="1:8">
      <c r="A176" s="33" t="s">
        <v>145</v>
      </c>
      <c r="B176" s="33" t="s">
        <v>530</v>
      </c>
      <c r="C176" s="125" t="s">
        <v>41</v>
      </c>
      <c r="D176" s="126">
        <v>1520</v>
      </c>
      <c r="E176" s="126">
        <v>200</v>
      </c>
      <c r="F176" s="126">
        <v>280</v>
      </c>
      <c r="G176" s="126">
        <v>2000</v>
      </c>
      <c r="H176" s="127">
        <v>0</v>
      </c>
    </row>
    <row r="177" spans="1:8">
      <c r="A177" s="33" t="s">
        <v>145</v>
      </c>
      <c r="B177" s="33" t="s">
        <v>530</v>
      </c>
      <c r="C177" s="125" t="s">
        <v>40</v>
      </c>
      <c r="D177" s="126">
        <v>1520</v>
      </c>
      <c r="E177" s="126">
        <v>200</v>
      </c>
      <c r="F177" s="126">
        <v>280</v>
      </c>
      <c r="G177" s="126">
        <v>2000</v>
      </c>
      <c r="H177" s="127">
        <v>0</v>
      </c>
    </row>
    <row r="178" spans="1:8">
      <c r="A178" s="39" t="s">
        <v>145</v>
      </c>
      <c r="B178" s="39" t="s">
        <v>530</v>
      </c>
      <c r="C178" s="125" t="s">
        <v>299</v>
      </c>
      <c r="D178" s="126">
        <v>1520</v>
      </c>
      <c r="E178" s="126">
        <v>200</v>
      </c>
      <c r="F178" s="126">
        <v>280</v>
      </c>
      <c r="G178" s="126">
        <v>2000</v>
      </c>
      <c r="H178" s="127">
        <v>0</v>
      </c>
    </row>
    <row r="179" spans="1:8">
      <c r="A179" s="33" t="s">
        <v>145</v>
      </c>
      <c r="B179" s="33" t="s">
        <v>530</v>
      </c>
      <c r="C179" s="125" t="s">
        <v>442</v>
      </c>
      <c r="D179" s="126">
        <v>1520</v>
      </c>
      <c r="E179" s="126">
        <v>200</v>
      </c>
      <c r="F179" s="126">
        <v>280</v>
      </c>
      <c r="G179" s="126">
        <v>2000</v>
      </c>
      <c r="H179" s="127">
        <v>0</v>
      </c>
    </row>
    <row r="180" spans="1:8">
      <c r="A180" s="33" t="s">
        <v>145</v>
      </c>
      <c r="B180" s="33" t="s">
        <v>530</v>
      </c>
      <c r="C180" s="125" t="s">
        <v>296</v>
      </c>
      <c r="D180" s="126">
        <v>440</v>
      </c>
      <c r="E180" s="126">
        <v>180</v>
      </c>
      <c r="F180" s="126">
        <v>180</v>
      </c>
      <c r="G180" s="126">
        <v>800</v>
      </c>
      <c r="H180" s="127">
        <v>0</v>
      </c>
    </row>
    <row r="181" spans="1:8">
      <c r="A181" s="33" t="s">
        <v>145</v>
      </c>
      <c r="B181" s="33" t="s">
        <v>530</v>
      </c>
      <c r="C181" s="125" t="s">
        <v>415</v>
      </c>
      <c r="D181" s="126">
        <v>3435</v>
      </c>
      <c r="E181" s="126">
        <v>300</v>
      </c>
      <c r="F181" s="126">
        <v>500</v>
      </c>
      <c r="G181" s="126">
        <v>4235</v>
      </c>
      <c r="H181" s="127">
        <v>1235</v>
      </c>
    </row>
    <row r="182" spans="1:8">
      <c r="A182" s="33" t="s">
        <v>145</v>
      </c>
      <c r="B182" s="33" t="s">
        <v>530</v>
      </c>
      <c r="C182" s="129" t="s">
        <v>580</v>
      </c>
      <c r="D182" s="126">
        <v>2050</v>
      </c>
      <c r="E182" s="126">
        <v>100</v>
      </c>
      <c r="F182" s="126">
        <v>200</v>
      </c>
      <c r="G182" s="126">
        <v>2350</v>
      </c>
      <c r="H182" s="127">
        <v>1500</v>
      </c>
    </row>
    <row r="183" spans="1:8">
      <c r="A183" s="33" t="s">
        <v>145</v>
      </c>
      <c r="B183" s="33" t="s">
        <v>530</v>
      </c>
      <c r="C183" s="125" t="s">
        <v>172</v>
      </c>
      <c r="D183" s="126">
        <v>2425</v>
      </c>
      <c r="E183" s="126">
        <v>185</v>
      </c>
      <c r="F183" s="126">
        <v>365</v>
      </c>
      <c r="G183" s="126">
        <v>2975</v>
      </c>
      <c r="H183" s="127">
        <v>1475</v>
      </c>
    </row>
    <row r="184" spans="1:8">
      <c r="A184" s="33" t="s">
        <v>145</v>
      </c>
      <c r="B184" s="33" t="s">
        <v>530</v>
      </c>
      <c r="C184" s="129" t="s">
        <v>581</v>
      </c>
      <c r="D184" s="126">
        <v>2490</v>
      </c>
      <c r="E184" s="126">
        <v>200</v>
      </c>
      <c r="F184" s="126">
        <v>500</v>
      </c>
      <c r="G184" s="126">
        <v>3190</v>
      </c>
      <c r="H184" s="127">
        <v>1500</v>
      </c>
    </row>
    <row r="185" spans="1:8">
      <c r="A185" s="33" t="s">
        <v>145</v>
      </c>
      <c r="B185" s="33" t="s">
        <v>530</v>
      </c>
      <c r="C185" s="125" t="s">
        <v>441</v>
      </c>
      <c r="D185" s="126">
        <v>2260</v>
      </c>
      <c r="E185" s="126">
        <v>260</v>
      </c>
      <c r="F185" s="126">
        <v>570</v>
      </c>
      <c r="G185" s="126">
        <v>3090</v>
      </c>
      <c r="H185" s="127">
        <v>1620</v>
      </c>
    </row>
    <row r="186" spans="1:8">
      <c r="A186" s="33" t="s">
        <v>145</v>
      </c>
      <c r="B186" s="33" t="s">
        <v>530</v>
      </c>
      <c r="C186" s="125" t="s">
        <v>244</v>
      </c>
      <c r="D186" s="126">
        <v>1615</v>
      </c>
      <c r="E186" s="126">
        <v>200</v>
      </c>
      <c r="F186" s="126">
        <v>310</v>
      </c>
      <c r="G186" s="126">
        <v>2125</v>
      </c>
      <c r="H186" s="127">
        <v>125</v>
      </c>
    </row>
    <row r="187" spans="1:8">
      <c r="A187" s="33" t="s">
        <v>145</v>
      </c>
      <c r="B187" s="33" t="s">
        <v>530</v>
      </c>
      <c r="C187" s="125" t="s">
        <v>174</v>
      </c>
      <c r="D187" s="126">
        <v>2880</v>
      </c>
      <c r="E187" s="126">
        <v>375</v>
      </c>
      <c r="F187" s="126">
        <v>605</v>
      </c>
      <c r="G187" s="126">
        <v>3860</v>
      </c>
      <c r="H187" s="127">
        <v>360</v>
      </c>
    </row>
    <row r="188" spans="1:8">
      <c r="A188" s="33" t="s">
        <v>145</v>
      </c>
      <c r="B188" s="33" t="s">
        <v>530</v>
      </c>
      <c r="C188" s="129" t="s">
        <v>582</v>
      </c>
      <c r="D188" s="126">
        <v>2250</v>
      </c>
      <c r="E188" s="126">
        <v>120</v>
      </c>
      <c r="F188" s="126">
        <v>295</v>
      </c>
      <c r="G188" s="126">
        <v>2665</v>
      </c>
      <c r="H188" s="127">
        <v>1500</v>
      </c>
    </row>
    <row r="189" spans="1:8">
      <c r="A189" s="33" t="s">
        <v>145</v>
      </c>
      <c r="B189" s="33" t="s">
        <v>530</v>
      </c>
      <c r="C189" s="129" t="s">
        <v>253</v>
      </c>
      <c r="D189" s="126">
        <v>5540</v>
      </c>
      <c r="E189" s="126">
        <v>300</v>
      </c>
      <c r="F189" s="126">
        <v>700</v>
      </c>
      <c r="G189" s="126">
        <v>6540</v>
      </c>
      <c r="H189" s="127">
        <v>2540</v>
      </c>
    </row>
    <row r="190" spans="1:8">
      <c r="A190" s="33" t="s">
        <v>145</v>
      </c>
      <c r="B190" s="33" t="s">
        <v>530</v>
      </c>
      <c r="C190" s="125" t="s">
        <v>438</v>
      </c>
      <c r="D190" s="126">
        <v>4750</v>
      </c>
      <c r="E190" s="126">
        <v>500</v>
      </c>
      <c r="F190" s="126">
        <v>900</v>
      </c>
      <c r="G190" s="126">
        <v>6150</v>
      </c>
      <c r="H190" s="127">
        <v>1150</v>
      </c>
    </row>
    <row r="191" spans="1:8">
      <c r="A191" s="33" t="s">
        <v>145</v>
      </c>
      <c r="B191" s="33" t="s">
        <v>530</v>
      </c>
      <c r="C191" s="125" t="s">
        <v>423</v>
      </c>
      <c r="D191" s="126">
        <v>2640</v>
      </c>
      <c r="E191" s="126">
        <v>120</v>
      </c>
      <c r="F191" s="126">
        <v>295</v>
      </c>
      <c r="G191" s="126">
        <v>3055</v>
      </c>
      <c r="H191" s="127">
        <v>1890</v>
      </c>
    </row>
    <row r="192" spans="1:8">
      <c r="A192" s="33" t="s">
        <v>145</v>
      </c>
      <c r="B192" s="33" t="s">
        <v>530</v>
      </c>
      <c r="C192" s="125" t="s">
        <v>259</v>
      </c>
      <c r="D192" s="126">
        <v>3450</v>
      </c>
      <c r="E192" s="126">
        <v>150</v>
      </c>
      <c r="F192" s="126">
        <v>400</v>
      </c>
      <c r="G192" s="126">
        <v>4000</v>
      </c>
      <c r="H192" s="127">
        <v>0</v>
      </c>
    </row>
    <row r="193" spans="1:8">
      <c r="A193" s="33" t="s">
        <v>145</v>
      </c>
      <c r="B193" s="33" t="s">
        <v>530</v>
      </c>
      <c r="C193" s="125" t="s">
        <v>422</v>
      </c>
      <c r="D193" s="126">
        <v>2800</v>
      </c>
      <c r="E193" s="126">
        <v>170</v>
      </c>
      <c r="F193" s="126">
        <v>550</v>
      </c>
      <c r="G193" s="126">
        <v>3520</v>
      </c>
      <c r="H193" s="127">
        <v>1520</v>
      </c>
    </row>
    <row r="194" spans="1:8">
      <c r="A194" s="33" t="s">
        <v>145</v>
      </c>
      <c r="B194" s="33" t="s">
        <v>530</v>
      </c>
      <c r="C194" s="125" t="s">
        <v>184</v>
      </c>
      <c r="D194" s="126">
        <v>3535</v>
      </c>
      <c r="E194" s="126">
        <v>200</v>
      </c>
      <c r="F194" s="126">
        <v>500</v>
      </c>
      <c r="G194" s="126">
        <v>4235</v>
      </c>
      <c r="H194" s="127">
        <v>1235</v>
      </c>
    </row>
    <row r="195" spans="1:8">
      <c r="A195" s="33" t="s">
        <v>145</v>
      </c>
      <c r="B195" s="33" t="s">
        <v>530</v>
      </c>
      <c r="C195" s="129" t="s">
        <v>583</v>
      </c>
      <c r="D195" s="126">
        <v>2065</v>
      </c>
      <c r="E195" s="126">
        <v>100</v>
      </c>
      <c r="F195" s="126">
        <v>300</v>
      </c>
      <c r="G195" s="126">
        <v>2465</v>
      </c>
      <c r="H195" s="127">
        <v>1500</v>
      </c>
    </row>
    <row r="196" spans="1:8">
      <c r="A196" s="33" t="s">
        <v>145</v>
      </c>
      <c r="B196" s="33" t="s">
        <v>530</v>
      </c>
      <c r="C196" s="129" t="s">
        <v>584</v>
      </c>
      <c r="D196" s="126">
        <v>3350</v>
      </c>
      <c r="E196" s="126">
        <v>280</v>
      </c>
      <c r="F196" s="126">
        <v>705</v>
      </c>
      <c r="G196" s="126">
        <v>4335</v>
      </c>
      <c r="H196" s="127">
        <v>1500</v>
      </c>
    </row>
    <row r="197" spans="1:8">
      <c r="A197" s="33" t="s">
        <v>145</v>
      </c>
      <c r="B197" s="33" t="s">
        <v>530</v>
      </c>
      <c r="C197" s="129" t="s">
        <v>585</v>
      </c>
      <c r="D197" s="126">
        <v>2715</v>
      </c>
      <c r="E197" s="126">
        <v>200</v>
      </c>
      <c r="F197" s="126">
        <v>500</v>
      </c>
      <c r="G197" s="126">
        <v>3415</v>
      </c>
      <c r="H197" s="127">
        <v>1500</v>
      </c>
    </row>
    <row r="198" spans="1:8">
      <c r="A198" s="33" t="s">
        <v>145</v>
      </c>
      <c r="B198" s="33" t="s">
        <v>530</v>
      </c>
      <c r="C198" s="129" t="s">
        <v>586</v>
      </c>
      <c r="D198" s="126">
        <v>2500</v>
      </c>
      <c r="E198" s="126">
        <v>200</v>
      </c>
      <c r="F198" s="126">
        <v>500</v>
      </c>
      <c r="G198" s="126">
        <v>3200</v>
      </c>
      <c r="H198" s="127">
        <v>1500</v>
      </c>
    </row>
    <row r="199" spans="1:8">
      <c r="A199" s="33" t="s">
        <v>145</v>
      </c>
      <c r="B199" s="33" t="s">
        <v>530</v>
      </c>
      <c r="C199" s="129" t="s">
        <v>587</v>
      </c>
      <c r="D199" s="126">
        <v>2500</v>
      </c>
      <c r="E199" s="126">
        <v>200</v>
      </c>
      <c r="F199" s="126">
        <v>500</v>
      </c>
      <c r="G199" s="126">
        <v>3200</v>
      </c>
      <c r="H199" s="127">
        <v>1500</v>
      </c>
    </row>
    <row r="200" spans="1:8">
      <c r="A200" s="33" t="s">
        <v>145</v>
      </c>
      <c r="B200" s="33" t="s">
        <v>530</v>
      </c>
      <c r="C200" s="125" t="s">
        <v>213</v>
      </c>
      <c r="D200" s="126">
        <v>2770</v>
      </c>
      <c r="E200" s="126">
        <v>120</v>
      </c>
      <c r="F200" s="126">
        <v>300</v>
      </c>
      <c r="G200" s="126">
        <v>3190</v>
      </c>
      <c r="H200" s="127">
        <v>1490</v>
      </c>
    </row>
    <row r="201" spans="1:8">
      <c r="A201" s="33" t="s">
        <v>145</v>
      </c>
      <c r="B201" s="33" t="s">
        <v>530</v>
      </c>
      <c r="C201" s="129" t="s">
        <v>588</v>
      </c>
      <c r="D201" s="126">
        <v>2500</v>
      </c>
      <c r="E201" s="126">
        <v>200</v>
      </c>
      <c r="F201" s="126">
        <v>500</v>
      </c>
      <c r="G201" s="126">
        <v>3200</v>
      </c>
      <c r="H201" s="127">
        <v>1500</v>
      </c>
    </row>
    <row r="202" spans="1:8">
      <c r="A202" s="33" t="s">
        <v>145</v>
      </c>
      <c r="B202" s="33" t="s">
        <v>530</v>
      </c>
      <c r="C202" s="129" t="s">
        <v>589</v>
      </c>
      <c r="D202" s="126">
        <v>1930</v>
      </c>
      <c r="E202" s="126">
        <v>90</v>
      </c>
      <c r="F202" s="126">
        <v>220</v>
      </c>
      <c r="G202" s="126">
        <v>2240</v>
      </c>
      <c r="H202" s="127">
        <v>1500</v>
      </c>
    </row>
    <row r="203" spans="1:8">
      <c r="A203" s="33" t="s">
        <v>145</v>
      </c>
      <c r="B203" s="33" t="s">
        <v>530</v>
      </c>
      <c r="C203" s="125" t="s">
        <v>426</v>
      </c>
      <c r="D203" s="126">
        <v>2250</v>
      </c>
      <c r="E203" s="126">
        <v>90</v>
      </c>
      <c r="F203" s="126">
        <v>220</v>
      </c>
      <c r="G203" s="126">
        <v>2560</v>
      </c>
      <c r="H203" s="127">
        <v>1820</v>
      </c>
    </row>
    <row r="204" spans="1:8">
      <c r="A204" s="33" t="s">
        <v>145</v>
      </c>
      <c r="B204" s="33" t="s">
        <v>530</v>
      </c>
      <c r="C204" s="125" t="s">
        <v>209</v>
      </c>
      <c r="D204" s="126">
        <v>2860</v>
      </c>
      <c r="E204" s="126">
        <v>340</v>
      </c>
      <c r="F204" s="126">
        <v>280</v>
      </c>
      <c r="G204" s="126">
        <v>3480</v>
      </c>
      <c r="H204" s="127">
        <v>980</v>
      </c>
    </row>
    <row r="205" spans="1:8">
      <c r="A205" s="33" t="s">
        <v>145</v>
      </c>
      <c r="B205" s="33" t="s">
        <v>530</v>
      </c>
      <c r="C205" s="125" t="s">
        <v>425</v>
      </c>
      <c r="D205" s="126">
        <v>2250</v>
      </c>
      <c r="E205" s="126">
        <v>90</v>
      </c>
      <c r="F205" s="126">
        <v>220</v>
      </c>
      <c r="G205" s="126">
        <v>2560</v>
      </c>
      <c r="H205" s="127">
        <v>1820</v>
      </c>
    </row>
    <row r="206" spans="1:8">
      <c r="A206" s="33" t="s">
        <v>145</v>
      </c>
      <c r="B206" s="33" t="s">
        <v>530</v>
      </c>
      <c r="C206" s="129" t="s">
        <v>590</v>
      </c>
      <c r="D206" s="126">
        <v>2500</v>
      </c>
      <c r="E206" s="126">
        <v>200</v>
      </c>
      <c r="F206" s="126">
        <v>500</v>
      </c>
      <c r="G206" s="126">
        <v>3200</v>
      </c>
      <c r="H206" s="127">
        <v>1500</v>
      </c>
    </row>
    <row r="207" spans="1:8">
      <c r="A207" s="33" t="s">
        <v>145</v>
      </c>
      <c r="B207" s="33" t="s">
        <v>530</v>
      </c>
      <c r="C207" s="125" t="s">
        <v>424</v>
      </c>
      <c r="D207" s="126">
        <v>2290</v>
      </c>
      <c r="E207" s="126">
        <v>100</v>
      </c>
      <c r="F207" s="126">
        <v>300</v>
      </c>
      <c r="G207" s="126">
        <v>2690</v>
      </c>
      <c r="H207" s="127">
        <v>1740</v>
      </c>
    </row>
    <row r="208" spans="1:8">
      <c r="A208" s="33" t="s">
        <v>145</v>
      </c>
      <c r="B208" s="33" t="s">
        <v>530</v>
      </c>
      <c r="C208" s="129" t="s">
        <v>591</v>
      </c>
      <c r="D208" s="126">
        <v>2500</v>
      </c>
      <c r="E208" s="126">
        <v>200</v>
      </c>
      <c r="F208" s="126">
        <v>500</v>
      </c>
      <c r="G208" s="126">
        <v>3200</v>
      </c>
      <c r="H208" s="127">
        <v>1500</v>
      </c>
    </row>
    <row r="209" spans="1:8">
      <c r="A209" s="33" t="s">
        <v>145</v>
      </c>
      <c r="B209" s="33" t="s">
        <v>530</v>
      </c>
      <c r="C209" s="129" t="s">
        <v>592</v>
      </c>
      <c r="D209" s="126">
        <v>2500</v>
      </c>
      <c r="E209" s="126">
        <v>200</v>
      </c>
      <c r="F209" s="126">
        <v>500</v>
      </c>
      <c r="G209" s="126">
        <v>3200</v>
      </c>
      <c r="H209" s="127">
        <v>1500</v>
      </c>
    </row>
    <row r="210" spans="1:8">
      <c r="A210" s="33" t="s">
        <v>145</v>
      </c>
      <c r="B210" s="33" t="s">
        <v>530</v>
      </c>
      <c r="C210" s="125" t="s">
        <v>261</v>
      </c>
      <c r="D210" s="126">
        <v>2805</v>
      </c>
      <c r="E210" s="126">
        <v>140</v>
      </c>
      <c r="F210" s="126">
        <v>250</v>
      </c>
      <c r="G210" s="126">
        <v>3195</v>
      </c>
      <c r="H210" s="127">
        <v>1295</v>
      </c>
    </row>
    <row r="211" spans="1:8">
      <c r="A211" s="33" t="s">
        <v>145</v>
      </c>
      <c r="B211" s="33" t="s">
        <v>530</v>
      </c>
      <c r="C211" s="125" t="s">
        <v>427</v>
      </c>
      <c r="D211" s="126">
        <v>2305</v>
      </c>
      <c r="E211" s="126">
        <v>100</v>
      </c>
      <c r="F211" s="126">
        <v>200</v>
      </c>
      <c r="G211" s="126">
        <v>2605</v>
      </c>
      <c r="H211" s="127">
        <v>1705</v>
      </c>
    </row>
    <row r="212" spans="1:8">
      <c r="A212" s="33" t="s">
        <v>145</v>
      </c>
      <c r="B212" s="33" t="s">
        <v>530</v>
      </c>
      <c r="C212" s="125" t="s">
        <v>185</v>
      </c>
      <c r="D212" s="126">
        <v>3255</v>
      </c>
      <c r="E212" s="126">
        <v>350</v>
      </c>
      <c r="F212" s="126">
        <v>1000</v>
      </c>
      <c r="G212" s="126">
        <v>4605</v>
      </c>
      <c r="H212" s="127">
        <v>1105</v>
      </c>
    </row>
    <row r="213" spans="1:8">
      <c r="A213" s="33" t="s">
        <v>145</v>
      </c>
      <c r="B213" s="33" t="s">
        <v>530</v>
      </c>
      <c r="C213" s="125" t="s">
        <v>418</v>
      </c>
      <c r="D213" s="126">
        <v>2740</v>
      </c>
      <c r="E213" s="126">
        <v>210</v>
      </c>
      <c r="F213" s="126">
        <v>200</v>
      </c>
      <c r="G213" s="126">
        <v>3150</v>
      </c>
      <c r="H213" s="127">
        <v>1650</v>
      </c>
    </row>
    <row r="214" spans="1:8">
      <c r="A214" s="33" t="s">
        <v>145</v>
      </c>
      <c r="B214" s="33" t="s">
        <v>530</v>
      </c>
      <c r="C214" s="125" t="s">
        <v>419</v>
      </c>
      <c r="D214" s="126">
        <v>2840</v>
      </c>
      <c r="E214" s="126">
        <v>470</v>
      </c>
      <c r="F214" s="126">
        <v>1180</v>
      </c>
      <c r="G214" s="126">
        <v>4490</v>
      </c>
      <c r="H214" s="127">
        <v>1080</v>
      </c>
    </row>
    <row r="215" spans="1:8">
      <c r="A215" s="33" t="s">
        <v>145</v>
      </c>
      <c r="B215" s="33" t="s">
        <v>530</v>
      </c>
      <c r="C215" s="129" t="s">
        <v>593</v>
      </c>
      <c r="D215" s="126">
        <v>2500</v>
      </c>
      <c r="E215" s="126">
        <v>200</v>
      </c>
      <c r="F215" s="126">
        <v>500</v>
      </c>
      <c r="G215" s="126">
        <v>3200</v>
      </c>
      <c r="H215" s="127">
        <v>1500</v>
      </c>
    </row>
    <row r="216" spans="1:8">
      <c r="A216" s="33" t="s">
        <v>145</v>
      </c>
      <c r="B216" s="33" t="s">
        <v>530</v>
      </c>
      <c r="C216" s="125" t="s">
        <v>420</v>
      </c>
      <c r="D216" s="126">
        <v>2740</v>
      </c>
      <c r="E216" s="126">
        <v>260</v>
      </c>
      <c r="F216" s="126">
        <v>650</v>
      </c>
      <c r="G216" s="126">
        <v>3650</v>
      </c>
      <c r="H216" s="127">
        <v>1670</v>
      </c>
    </row>
    <row r="217" spans="1:8">
      <c r="A217" s="33" t="s">
        <v>145</v>
      </c>
      <c r="B217" s="33" t="s">
        <v>530</v>
      </c>
      <c r="C217" s="125" t="s">
        <v>207</v>
      </c>
      <c r="D217" s="126">
        <v>3590</v>
      </c>
      <c r="E217" s="126">
        <v>260</v>
      </c>
      <c r="F217" s="126">
        <v>650</v>
      </c>
      <c r="G217" s="126">
        <v>4500</v>
      </c>
      <c r="H217" s="127">
        <v>0</v>
      </c>
    </row>
    <row r="218" spans="1:8">
      <c r="A218" s="33" t="s">
        <v>145</v>
      </c>
      <c r="B218" s="33" t="s">
        <v>530</v>
      </c>
      <c r="C218" s="125" t="s">
        <v>243</v>
      </c>
      <c r="D218" s="126">
        <v>1630</v>
      </c>
      <c r="E218" s="126">
        <v>200</v>
      </c>
      <c r="F218" s="126">
        <v>300</v>
      </c>
      <c r="G218" s="126">
        <v>2130</v>
      </c>
      <c r="H218" s="127">
        <v>130</v>
      </c>
    </row>
    <row r="219" spans="1:8">
      <c r="A219" s="33" t="s">
        <v>145</v>
      </c>
      <c r="B219" s="33" t="s">
        <v>530</v>
      </c>
      <c r="C219" s="125" t="s">
        <v>268</v>
      </c>
      <c r="D219" s="126">
        <v>2460</v>
      </c>
      <c r="E219" s="126">
        <v>230</v>
      </c>
      <c r="F219" s="126">
        <v>455</v>
      </c>
      <c r="G219" s="126">
        <v>3145</v>
      </c>
      <c r="H219" s="127">
        <v>1645</v>
      </c>
    </row>
    <row r="220" spans="1:8">
      <c r="A220" s="33" t="s">
        <v>145</v>
      </c>
      <c r="B220" s="33" t="s">
        <v>530</v>
      </c>
      <c r="C220" s="125" t="s">
        <v>292</v>
      </c>
      <c r="D220" s="126">
        <v>8000</v>
      </c>
      <c r="E220" s="126">
        <v>1500</v>
      </c>
      <c r="F220" s="126">
        <v>1500</v>
      </c>
      <c r="G220" s="126">
        <v>11000</v>
      </c>
      <c r="H220" s="127">
        <v>0</v>
      </c>
    </row>
    <row r="221" spans="1:8">
      <c r="A221" s="33" t="s">
        <v>145</v>
      </c>
      <c r="B221" s="33" t="s">
        <v>530</v>
      </c>
      <c r="C221" s="125" t="s">
        <v>273</v>
      </c>
      <c r="D221" s="126">
        <v>9500</v>
      </c>
      <c r="E221" s="126">
        <v>1500</v>
      </c>
      <c r="F221" s="126">
        <v>1500</v>
      </c>
      <c r="G221" s="126">
        <v>12500</v>
      </c>
      <c r="H221" s="127">
        <v>0</v>
      </c>
    </row>
    <row r="222" spans="1:8">
      <c r="A222" s="33" t="s">
        <v>145</v>
      </c>
      <c r="B222" s="33" t="s">
        <v>530</v>
      </c>
      <c r="C222" s="125" t="s">
        <v>271</v>
      </c>
      <c r="D222" s="126">
        <v>4995</v>
      </c>
      <c r="E222" s="126">
        <v>600</v>
      </c>
      <c r="F222" s="126">
        <v>1000</v>
      </c>
      <c r="G222" s="126">
        <v>6595</v>
      </c>
      <c r="H222" s="127">
        <v>595</v>
      </c>
    </row>
    <row r="223" spans="1:8">
      <c r="A223" s="33" t="s">
        <v>145</v>
      </c>
      <c r="B223" s="33" t="s">
        <v>530</v>
      </c>
      <c r="C223" s="125" t="s">
        <v>439</v>
      </c>
      <c r="D223" s="126">
        <v>4630</v>
      </c>
      <c r="E223" s="126">
        <v>490</v>
      </c>
      <c r="F223" s="126">
        <v>1210</v>
      </c>
      <c r="G223" s="126">
        <v>6330</v>
      </c>
      <c r="H223" s="127">
        <v>1530</v>
      </c>
    </row>
    <row r="224" spans="1:8">
      <c r="A224" s="33" t="s">
        <v>145</v>
      </c>
      <c r="B224" s="33" t="s">
        <v>530</v>
      </c>
      <c r="C224" s="125" t="s">
        <v>238</v>
      </c>
      <c r="D224" s="126">
        <v>1720</v>
      </c>
      <c r="E224" s="126">
        <v>125</v>
      </c>
      <c r="F224" s="126">
        <v>300</v>
      </c>
      <c r="G224" s="126">
        <v>2145</v>
      </c>
      <c r="H224" s="127">
        <v>145</v>
      </c>
    </row>
    <row r="225" spans="1:8">
      <c r="A225" s="33" t="s">
        <v>145</v>
      </c>
      <c r="B225" s="33" t="s">
        <v>530</v>
      </c>
      <c r="C225" s="129" t="s">
        <v>594</v>
      </c>
      <c r="D225" s="126">
        <v>2060</v>
      </c>
      <c r="E225" s="126">
        <v>120</v>
      </c>
      <c r="F225" s="126">
        <v>300</v>
      </c>
      <c r="G225" s="126">
        <v>2480</v>
      </c>
      <c r="H225" s="127">
        <v>1500</v>
      </c>
    </row>
    <row r="226" spans="1:8">
      <c r="A226" s="33" t="s">
        <v>145</v>
      </c>
      <c r="B226" s="33" t="s">
        <v>530</v>
      </c>
      <c r="C226" s="125" t="s">
        <v>407</v>
      </c>
      <c r="D226" s="126">
        <v>2845</v>
      </c>
      <c r="E226" s="126">
        <v>165</v>
      </c>
      <c r="F226" s="126">
        <v>400</v>
      </c>
      <c r="G226" s="126">
        <v>3410</v>
      </c>
      <c r="H226" s="127">
        <v>1410</v>
      </c>
    </row>
    <row r="227" spans="1:8">
      <c r="A227" s="33" t="s">
        <v>145</v>
      </c>
      <c r="B227" s="33" t="s">
        <v>530</v>
      </c>
      <c r="C227" s="129" t="s">
        <v>595</v>
      </c>
      <c r="D227" s="126">
        <v>2380</v>
      </c>
      <c r="E227" s="126">
        <v>180</v>
      </c>
      <c r="F227" s="126">
        <v>440</v>
      </c>
      <c r="G227" s="126">
        <v>3000</v>
      </c>
      <c r="H227" s="127">
        <v>1500</v>
      </c>
    </row>
    <row r="228" spans="1:8">
      <c r="A228" s="33" t="s">
        <v>145</v>
      </c>
      <c r="B228" s="33" t="s">
        <v>530</v>
      </c>
      <c r="C228" s="129" t="s">
        <v>596</v>
      </c>
      <c r="D228" s="126">
        <v>2060</v>
      </c>
      <c r="E228" s="126">
        <v>120</v>
      </c>
      <c r="F228" s="126">
        <v>300</v>
      </c>
      <c r="G228" s="126">
        <v>2480</v>
      </c>
      <c r="H228" s="127">
        <v>1500</v>
      </c>
    </row>
    <row r="229" spans="1:8">
      <c r="A229" s="33" t="s">
        <v>145</v>
      </c>
      <c r="B229" s="33" t="s">
        <v>530</v>
      </c>
      <c r="C229" s="129" t="s">
        <v>597</v>
      </c>
      <c r="D229" s="126">
        <v>2180</v>
      </c>
      <c r="E229" s="126">
        <v>150</v>
      </c>
      <c r="F229" s="126">
        <v>500</v>
      </c>
      <c r="G229" s="126">
        <v>2830</v>
      </c>
      <c r="H229" s="127">
        <v>1500</v>
      </c>
    </row>
    <row r="230" spans="1:8">
      <c r="A230" s="33" t="s">
        <v>145</v>
      </c>
      <c r="B230" s="33" t="s">
        <v>530</v>
      </c>
      <c r="C230" s="125" t="s">
        <v>192</v>
      </c>
      <c r="D230" s="126">
        <v>2615</v>
      </c>
      <c r="E230" s="126">
        <v>120</v>
      </c>
      <c r="F230" s="126">
        <v>210</v>
      </c>
      <c r="G230" s="126">
        <v>2945</v>
      </c>
      <c r="H230" s="127">
        <v>1970</v>
      </c>
    </row>
    <row r="231" spans="1:8">
      <c r="A231" s="33" t="s">
        <v>145</v>
      </c>
      <c r="B231" s="33" t="s">
        <v>530</v>
      </c>
      <c r="C231" s="129" t="s">
        <v>598</v>
      </c>
      <c r="D231" s="126">
        <v>2030</v>
      </c>
      <c r="E231" s="126">
        <v>120</v>
      </c>
      <c r="F231" s="126">
        <v>300</v>
      </c>
      <c r="G231" s="126">
        <v>2450</v>
      </c>
      <c r="H231" s="127">
        <v>1500</v>
      </c>
    </row>
    <row r="232" spans="1:8">
      <c r="A232" s="33" t="s">
        <v>145</v>
      </c>
      <c r="B232" s="33" t="s">
        <v>530</v>
      </c>
      <c r="C232" s="129" t="s">
        <v>599</v>
      </c>
      <c r="D232" s="126">
        <v>2500</v>
      </c>
      <c r="E232" s="126">
        <v>200</v>
      </c>
      <c r="F232" s="126">
        <v>500</v>
      </c>
      <c r="G232" s="126">
        <v>3200</v>
      </c>
      <c r="H232" s="127">
        <v>1500</v>
      </c>
    </row>
    <row r="233" spans="1:8">
      <c r="A233" s="33" t="s">
        <v>145</v>
      </c>
      <c r="B233" s="33" t="s">
        <v>530</v>
      </c>
      <c r="C233" s="129" t="s">
        <v>429</v>
      </c>
      <c r="D233" s="126">
        <v>3293</v>
      </c>
      <c r="E233" s="126">
        <v>118</v>
      </c>
      <c r="F233" s="126">
        <v>294</v>
      </c>
      <c r="G233" s="126">
        <v>3705</v>
      </c>
      <c r="H233" s="127">
        <v>2540</v>
      </c>
    </row>
    <row r="234" spans="1:8">
      <c r="A234" s="33" t="s">
        <v>145</v>
      </c>
      <c r="B234" s="33" t="s">
        <v>530</v>
      </c>
      <c r="C234" s="125" t="s">
        <v>421</v>
      </c>
      <c r="D234" s="126">
        <v>3175</v>
      </c>
      <c r="E234" s="126">
        <v>100</v>
      </c>
      <c r="F234" s="126">
        <v>300</v>
      </c>
      <c r="G234" s="126">
        <v>3575</v>
      </c>
      <c r="H234" s="127">
        <v>1575</v>
      </c>
    </row>
    <row r="235" spans="1:8">
      <c r="A235" s="33" t="s">
        <v>145</v>
      </c>
      <c r="B235" s="33" t="s">
        <v>530</v>
      </c>
      <c r="C235" s="125" t="s">
        <v>200</v>
      </c>
      <c r="D235" s="126">
        <v>2780</v>
      </c>
      <c r="E235" s="126">
        <v>210</v>
      </c>
      <c r="F235" s="126">
        <v>530</v>
      </c>
      <c r="G235" s="126">
        <v>3520</v>
      </c>
      <c r="H235" s="127">
        <v>1580</v>
      </c>
    </row>
    <row r="236" spans="1:8">
      <c r="A236" s="33" t="s">
        <v>145</v>
      </c>
      <c r="B236" s="33" t="s">
        <v>530</v>
      </c>
      <c r="C236" s="125" t="s">
        <v>428</v>
      </c>
      <c r="D236" s="126">
        <v>2650</v>
      </c>
      <c r="E236" s="126">
        <v>120</v>
      </c>
      <c r="F236" s="126">
        <v>295</v>
      </c>
      <c r="G236" s="126">
        <v>3065</v>
      </c>
      <c r="H236" s="127">
        <v>1900</v>
      </c>
    </row>
    <row r="237" spans="1:8">
      <c r="A237" s="33" t="s">
        <v>145</v>
      </c>
      <c r="B237" s="33" t="s">
        <v>530</v>
      </c>
      <c r="C237" s="129" t="s">
        <v>600</v>
      </c>
      <c r="D237" s="126">
        <v>2360</v>
      </c>
      <c r="E237" s="126">
        <v>140</v>
      </c>
      <c r="F237" s="126">
        <v>355</v>
      </c>
      <c r="G237" s="126">
        <v>2855</v>
      </c>
      <c r="H237" s="127">
        <v>1500</v>
      </c>
    </row>
    <row r="238" spans="1:8">
      <c r="A238" s="33" t="s">
        <v>145</v>
      </c>
      <c r="B238" s="33" t="s">
        <v>530</v>
      </c>
      <c r="C238" s="125" t="s">
        <v>239</v>
      </c>
      <c r="D238" s="126">
        <v>1005</v>
      </c>
      <c r="E238" s="126">
        <v>120</v>
      </c>
      <c r="F238" s="126">
        <v>300</v>
      </c>
      <c r="G238" s="126">
        <v>1425</v>
      </c>
      <c r="H238" s="127">
        <v>445</v>
      </c>
    </row>
    <row r="239" spans="1:8">
      <c r="A239" s="33" t="s">
        <v>145</v>
      </c>
      <c r="B239" s="33" t="s">
        <v>530</v>
      </c>
      <c r="C239" s="125" t="s">
        <v>410</v>
      </c>
      <c r="D239" s="126">
        <v>1005</v>
      </c>
      <c r="E239" s="126">
        <v>120</v>
      </c>
      <c r="F239" s="126">
        <v>300</v>
      </c>
      <c r="G239" s="126">
        <v>1425</v>
      </c>
      <c r="H239" s="127">
        <v>445</v>
      </c>
    </row>
    <row r="240" spans="1:8">
      <c r="A240" s="33" t="s">
        <v>145</v>
      </c>
      <c r="B240" s="33" t="s">
        <v>530</v>
      </c>
      <c r="C240" s="125" t="s">
        <v>433</v>
      </c>
      <c r="D240" s="126">
        <v>2575</v>
      </c>
      <c r="E240" s="126">
        <v>70</v>
      </c>
      <c r="F240" s="126">
        <v>175</v>
      </c>
      <c r="G240" s="126">
        <v>2820</v>
      </c>
      <c r="H240" s="127">
        <v>2045</v>
      </c>
    </row>
    <row r="241" spans="1:8">
      <c r="A241" s="33" t="s">
        <v>145</v>
      </c>
      <c r="B241" s="33" t="s">
        <v>530</v>
      </c>
      <c r="C241" s="125" t="s">
        <v>434</v>
      </c>
      <c r="D241" s="126">
        <v>2575</v>
      </c>
      <c r="E241" s="126">
        <v>70</v>
      </c>
      <c r="F241" s="126">
        <v>175</v>
      </c>
      <c r="G241" s="126">
        <v>2820</v>
      </c>
      <c r="H241" s="127">
        <v>2045</v>
      </c>
    </row>
    <row r="242" spans="1:8">
      <c r="A242" s="33" t="s">
        <v>145</v>
      </c>
      <c r="B242" s="33" t="s">
        <v>530</v>
      </c>
      <c r="C242" s="129" t="s">
        <v>601</v>
      </c>
      <c r="D242" s="126">
        <v>2180</v>
      </c>
      <c r="E242" s="126">
        <v>150</v>
      </c>
      <c r="F242" s="126">
        <v>500</v>
      </c>
      <c r="G242" s="126">
        <v>2830</v>
      </c>
      <c r="H242" s="127">
        <v>1500</v>
      </c>
    </row>
    <row r="243" spans="1:8">
      <c r="A243" s="33" t="s">
        <v>145</v>
      </c>
      <c r="B243" s="33" t="s">
        <v>530</v>
      </c>
      <c r="C243" s="129" t="s">
        <v>602</v>
      </c>
      <c r="D243" s="126">
        <v>2800</v>
      </c>
      <c r="E243" s="126">
        <v>300</v>
      </c>
      <c r="F243" s="126">
        <v>305</v>
      </c>
      <c r="G243" s="126">
        <v>3405</v>
      </c>
      <c r="H243" s="127">
        <v>1500</v>
      </c>
    </row>
    <row r="244" spans="1:8">
      <c r="A244" s="33" t="s">
        <v>145</v>
      </c>
      <c r="B244" s="33" t="s">
        <v>530</v>
      </c>
      <c r="C244" s="125" t="s">
        <v>294</v>
      </c>
      <c r="D244" s="126">
        <v>5000</v>
      </c>
      <c r="E244" s="126">
        <v>800</v>
      </c>
      <c r="F244" s="126">
        <v>1200</v>
      </c>
      <c r="G244" s="126">
        <v>7000</v>
      </c>
      <c r="H244" s="127">
        <v>0</v>
      </c>
    </row>
    <row r="245" spans="1:8">
      <c r="A245" s="33" t="s">
        <v>145</v>
      </c>
      <c r="B245" s="33" t="s">
        <v>530</v>
      </c>
      <c r="C245" s="125" t="s">
        <v>437</v>
      </c>
      <c r="D245" s="126">
        <v>4055</v>
      </c>
      <c r="E245" s="126">
        <v>300</v>
      </c>
      <c r="F245" s="126">
        <v>500</v>
      </c>
      <c r="G245" s="126">
        <v>4855</v>
      </c>
      <c r="H245" s="127">
        <v>1855</v>
      </c>
    </row>
    <row r="246" spans="1:8">
      <c r="A246" s="33" t="s">
        <v>145</v>
      </c>
      <c r="B246" s="33" t="s">
        <v>530</v>
      </c>
      <c r="C246" s="125" t="s">
        <v>240</v>
      </c>
      <c r="D246" s="126">
        <v>1005</v>
      </c>
      <c r="E246" s="126">
        <v>120</v>
      </c>
      <c r="F246" s="126">
        <v>300</v>
      </c>
      <c r="G246" s="126">
        <v>1425</v>
      </c>
      <c r="H246" s="127">
        <v>445</v>
      </c>
    </row>
    <row r="247" spans="1:8">
      <c r="A247" s="33" t="s">
        <v>145</v>
      </c>
      <c r="B247" s="33" t="s">
        <v>530</v>
      </c>
      <c r="C247" s="125" t="s">
        <v>223</v>
      </c>
      <c r="D247" s="126">
        <v>22500</v>
      </c>
      <c r="E247" s="126">
        <v>2500</v>
      </c>
      <c r="F247" s="126">
        <v>3000</v>
      </c>
      <c r="G247" s="126">
        <v>28000</v>
      </c>
      <c r="H247" s="127">
        <v>0</v>
      </c>
    </row>
    <row r="248" spans="1:8">
      <c r="A248" s="33" t="s">
        <v>145</v>
      </c>
      <c r="B248" s="33" t="s">
        <v>530</v>
      </c>
      <c r="C248" s="125" t="s">
        <v>379</v>
      </c>
      <c r="D248" s="126">
        <v>1005</v>
      </c>
      <c r="E248" s="126">
        <v>120</v>
      </c>
      <c r="F248" s="126">
        <v>300</v>
      </c>
      <c r="G248" s="126">
        <v>1425</v>
      </c>
      <c r="H248" s="127">
        <v>445</v>
      </c>
    </row>
    <row r="249" spans="1:8">
      <c r="A249" s="33" t="s">
        <v>145</v>
      </c>
      <c r="B249" s="33" t="s">
        <v>530</v>
      </c>
      <c r="C249" s="128" t="s">
        <v>406</v>
      </c>
      <c r="D249" s="126">
        <v>31500</v>
      </c>
      <c r="E249" s="126">
        <v>3500</v>
      </c>
      <c r="F249" s="126">
        <v>3000</v>
      </c>
      <c r="G249" s="126">
        <v>38000</v>
      </c>
      <c r="H249" s="127">
        <v>13000</v>
      </c>
    </row>
    <row r="250" spans="1:8">
      <c r="A250" s="33" t="s">
        <v>145</v>
      </c>
      <c r="B250" s="33" t="s">
        <v>530</v>
      </c>
      <c r="C250" s="125" t="s">
        <v>287</v>
      </c>
      <c r="D250" s="126">
        <v>990</v>
      </c>
      <c r="E250" s="126">
        <v>125</v>
      </c>
      <c r="F250" s="126">
        <v>300</v>
      </c>
      <c r="G250" s="126">
        <v>1415</v>
      </c>
      <c r="H250" s="127">
        <v>405</v>
      </c>
    </row>
    <row r="251" spans="1:8">
      <c r="A251" s="33" t="s">
        <v>145</v>
      </c>
      <c r="B251" s="33" t="s">
        <v>530</v>
      </c>
      <c r="C251" s="125" t="s">
        <v>249</v>
      </c>
      <c r="D251" s="126">
        <v>2715</v>
      </c>
      <c r="E251" s="126">
        <v>190</v>
      </c>
      <c r="F251" s="126">
        <v>310</v>
      </c>
      <c r="G251" s="126">
        <v>3215</v>
      </c>
      <c r="H251" s="127">
        <v>1715</v>
      </c>
    </row>
    <row r="252" spans="1:8">
      <c r="A252" s="33" t="s">
        <v>145</v>
      </c>
      <c r="B252" s="33" t="s">
        <v>530</v>
      </c>
      <c r="C252" s="125" t="s">
        <v>408</v>
      </c>
      <c r="D252" s="126">
        <v>3375</v>
      </c>
      <c r="E252" s="126">
        <v>200</v>
      </c>
      <c r="F252" s="126">
        <v>500</v>
      </c>
      <c r="G252" s="126">
        <v>4075</v>
      </c>
      <c r="H252" s="127">
        <v>425</v>
      </c>
    </row>
    <row r="253" spans="1:8">
      <c r="A253" s="33" t="s">
        <v>145</v>
      </c>
      <c r="B253" s="33" t="s">
        <v>530</v>
      </c>
      <c r="C253" s="129" t="s">
        <v>603</v>
      </c>
      <c r="D253" s="126">
        <v>2660</v>
      </c>
      <c r="E253" s="126">
        <v>280</v>
      </c>
      <c r="F253" s="126">
        <v>710</v>
      </c>
      <c r="G253" s="126">
        <v>3650</v>
      </c>
      <c r="H253" s="127">
        <v>1500</v>
      </c>
    </row>
    <row r="254" spans="1:8">
      <c r="A254" s="33" t="s">
        <v>145</v>
      </c>
      <c r="B254" s="33" t="s">
        <v>530</v>
      </c>
      <c r="C254" s="129" t="s">
        <v>604</v>
      </c>
      <c r="D254" s="126">
        <v>2660</v>
      </c>
      <c r="E254" s="126">
        <v>280</v>
      </c>
      <c r="F254" s="126">
        <v>710</v>
      </c>
      <c r="G254" s="126">
        <v>3650</v>
      </c>
      <c r="H254" s="127">
        <v>1500</v>
      </c>
    </row>
    <row r="255" spans="1:8">
      <c r="A255" s="33" t="s">
        <v>145</v>
      </c>
      <c r="B255" s="33" t="s">
        <v>530</v>
      </c>
      <c r="D255" s="3"/>
    </row>
    <row r="256" spans="1:8">
      <c r="A256" s="33" t="s">
        <v>145</v>
      </c>
      <c r="B256" s="33" t="s">
        <v>530</v>
      </c>
      <c r="C256" s="125" t="s">
        <v>169</v>
      </c>
      <c r="D256" s="126">
        <v>2715</v>
      </c>
      <c r="E256" s="126">
        <v>190</v>
      </c>
      <c r="F256" s="126">
        <v>310</v>
      </c>
      <c r="G256" s="126">
        <v>3215</v>
      </c>
      <c r="H256" s="127">
        <v>1715</v>
      </c>
    </row>
    <row r="257" spans="1:8">
      <c r="A257" s="33" t="s">
        <v>145</v>
      </c>
      <c r="B257" s="33" t="s">
        <v>530</v>
      </c>
      <c r="C257" s="129" t="s">
        <v>605</v>
      </c>
      <c r="D257" s="126">
        <v>2055</v>
      </c>
      <c r="E257" s="126">
        <v>70</v>
      </c>
      <c r="F257" s="126">
        <v>175</v>
      </c>
      <c r="G257" s="126">
        <v>2300</v>
      </c>
      <c r="H257" s="127">
        <v>1500</v>
      </c>
    </row>
    <row r="258" spans="1:8">
      <c r="A258" s="39" t="s">
        <v>145</v>
      </c>
      <c r="B258" s="39" t="s">
        <v>530</v>
      </c>
      <c r="C258" s="128" t="s">
        <v>502</v>
      </c>
      <c r="D258" s="126">
        <v>1520</v>
      </c>
      <c r="E258" s="126">
        <v>200</v>
      </c>
      <c r="F258" s="126">
        <v>280</v>
      </c>
      <c r="G258" s="126">
        <v>2000</v>
      </c>
      <c r="H258" s="127">
        <v>0</v>
      </c>
    </row>
    <row r="259" spans="1:8">
      <c r="A259" s="33" t="s">
        <v>145</v>
      </c>
      <c r="B259" s="33" t="s">
        <v>530</v>
      </c>
      <c r="C259" s="129" t="s">
        <v>606</v>
      </c>
      <c r="D259" s="126">
        <v>2000</v>
      </c>
      <c r="E259" s="126">
        <v>100</v>
      </c>
      <c r="F259" s="126">
        <v>200</v>
      </c>
      <c r="G259" s="126">
        <v>2300</v>
      </c>
      <c r="H259" s="127">
        <v>1500</v>
      </c>
    </row>
    <row r="260" spans="1:8">
      <c r="A260" s="33" t="s">
        <v>145</v>
      </c>
      <c r="B260" s="33" t="s">
        <v>530</v>
      </c>
      <c r="C260" s="129" t="s">
        <v>440</v>
      </c>
      <c r="D260" s="126">
        <v>4040</v>
      </c>
      <c r="E260" s="126">
        <v>500</v>
      </c>
      <c r="F260" s="126">
        <v>700</v>
      </c>
      <c r="G260" s="126">
        <v>5240</v>
      </c>
      <c r="H260" s="127">
        <v>2615</v>
      </c>
    </row>
    <row r="261" spans="1:8">
      <c r="A261" s="33" t="s">
        <v>145</v>
      </c>
      <c r="B261" s="33" t="s">
        <v>530</v>
      </c>
      <c r="C261" s="125" t="s">
        <v>246</v>
      </c>
      <c r="D261" s="126">
        <v>3180</v>
      </c>
      <c r="E261" s="126">
        <v>330</v>
      </c>
      <c r="F261" s="126">
        <v>615</v>
      </c>
      <c r="G261" s="126">
        <v>4125</v>
      </c>
      <c r="H261" s="127">
        <v>1550</v>
      </c>
    </row>
    <row r="262" spans="1:8">
      <c r="A262" s="33" t="s">
        <v>145</v>
      </c>
      <c r="B262" s="33" t="s">
        <v>530</v>
      </c>
      <c r="C262" s="129" t="s">
        <v>607</v>
      </c>
      <c r="D262" s="126">
        <v>2500</v>
      </c>
      <c r="E262" s="126">
        <v>200</v>
      </c>
      <c r="F262" s="126">
        <v>500</v>
      </c>
      <c r="G262" s="126">
        <v>3200</v>
      </c>
      <c r="H262" s="127">
        <v>1500</v>
      </c>
    </row>
    <row r="263" spans="1:8">
      <c r="A263" s="33" t="s">
        <v>145</v>
      </c>
      <c r="B263" s="33" t="s">
        <v>530</v>
      </c>
      <c r="C263" s="125" t="s">
        <v>170</v>
      </c>
      <c r="D263" s="126">
        <v>3375</v>
      </c>
      <c r="E263" s="126">
        <v>185</v>
      </c>
      <c r="F263" s="126">
        <v>440</v>
      </c>
      <c r="G263" s="126">
        <v>4000</v>
      </c>
      <c r="H263" s="127">
        <v>0</v>
      </c>
    </row>
    <row r="264" spans="1:8">
      <c r="A264" s="33" t="s">
        <v>145</v>
      </c>
      <c r="B264" s="33" t="s">
        <v>530</v>
      </c>
      <c r="C264" s="129" t="s">
        <v>496</v>
      </c>
      <c r="D264" s="126">
        <v>3600</v>
      </c>
      <c r="E264" s="126">
        <v>300</v>
      </c>
      <c r="F264" s="126">
        <v>600</v>
      </c>
      <c r="G264" s="126">
        <v>4500</v>
      </c>
      <c r="H264" s="127">
        <v>1500</v>
      </c>
    </row>
    <row r="265" spans="1:8">
      <c r="A265" s="33" t="s">
        <v>145</v>
      </c>
      <c r="B265" s="33" t="s">
        <v>530</v>
      </c>
      <c r="C265" s="129" t="s">
        <v>608</v>
      </c>
      <c r="D265" s="126">
        <v>2170</v>
      </c>
      <c r="E265" s="126">
        <v>200</v>
      </c>
      <c r="F265" s="126">
        <v>400</v>
      </c>
      <c r="G265" s="126">
        <v>2770</v>
      </c>
      <c r="H265" s="127">
        <v>1500</v>
      </c>
    </row>
    <row r="266" spans="1:8">
      <c r="A266" s="33" t="s">
        <v>145</v>
      </c>
      <c r="B266" s="33" t="s">
        <v>530</v>
      </c>
      <c r="C266" s="125" t="s">
        <v>171</v>
      </c>
      <c r="D266" s="126">
        <v>2300</v>
      </c>
      <c r="E266" s="126">
        <v>250</v>
      </c>
      <c r="F266" s="126">
        <v>460</v>
      </c>
      <c r="G266" s="126">
        <v>3010</v>
      </c>
      <c r="H266" s="127">
        <v>1410</v>
      </c>
    </row>
    <row r="267" spans="1:8">
      <c r="A267" s="33" t="s">
        <v>145</v>
      </c>
      <c r="B267" s="33" t="s">
        <v>530</v>
      </c>
      <c r="C267" s="129" t="s">
        <v>452</v>
      </c>
      <c r="D267" s="126">
        <v>2038</v>
      </c>
      <c r="E267" s="126">
        <v>118</v>
      </c>
      <c r="F267" s="126">
        <v>294</v>
      </c>
      <c r="G267" s="126">
        <v>2450</v>
      </c>
      <c r="H267" s="127">
        <v>1500</v>
      </c>
    </row>
    <row r="268" spans="1:8">
      <c r="A268" s="33" t="s">
        <v>145</v>
      </c>
      <c r="B268" s="33" t="s">
        <v>530</v>
      </c>
      <c r="C268" s="129" t="s">
        <v>454</v>
      </c>
      <c r="D268" s="126">
        <v>2038</v>
      </c>
      <c r="E268" s="126">
        <v>118</v>
      </c>
      <c r="F268" s="126">
        <v>294</v>
      </c>
      <c r="G268" s="126">
        <v>2450</v>
      </c>
      <c r="H268" s="127">
        <v>1500</v>
      </c>
    </row>
    <row r="269" spans="1:8">
      <c r="A269" s="33" t="s">
        <v>145</v>
      </c>
      <c r="B269" s="33" t="s">
        <v>530</v>
      </c>
      <c r="C269" s="125" t="s">
        <v>247</v>
      </c>
      <c r="D269" s="126">
        <v>3375</v>
      </c>
      <c r="E269" s="126">
        <v>185</v>
      </c>
      <c r="F269" s="126">
        <v>440</v>
      </c>
      <c r="G269" s="126">
        <v>4000</v>
      </c>
      <c r="H269" s="127">
        <v>0</v>
      </c>
    </row>
    <row r="270" spans="1:8">
      <c r="A270" s="33" t="s">
        <v>145</v>
      </c>
      <c r="B270" s="33" t="s">
        <v>530</v>
      </c>
      <c r="C270" s="129" t="s">
        <v>609</v>
      </c>
      <c r="D270" s="126">
        <v>2500</v>
      </c>
      <c r="E270" s="126">
        <v>200</v>
      </c>
      <c r="F270" s="126">
        <v>500</v>
      </c>
      <c r="G270" s="126">
        <v>3200</v>
      </c>
      <c r="H270" s="127">
        <v>1500</v>
      </c>
    </row>
  </sheetData>
  <autoFilter ref="A3:I270" xr:uid="{8990D387-786B-4033-8AC6-9FDAEF54DCA4}"/>
  <sortState xmlns:xlrd2="http://schemas.microsoft.com/office/spreadsheetml/2017/richdata2" ref="A4:H270">
    <sortCondition ref="C4:C2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A40C-728D-4F15-81CB-BE65978AD257}">
  <sheetPr codeName="Sheet6"/>
  <dimension ref="A1:F7"/>
  <sheetViews>
    <sheetView workbookViewId="0">
      <selection activeCell="H12" sqref="H12"/>
    </sheetView>
  </sheetViews>
  <sheetFormatPr defaultRowHeight="15"/>
  <cols>
    <col min="2" max="2" width="16" customWidth="1"/>
    <col min="5" max="6" width="16.85546875" bestFit="1" customWidth="1"/>
  </cols>
  <sheetData>
    <row r="1" spans="1:6" ht="15.75" thickBot="1">
      <c r="A1" s="41" t="s">
        <v>8</v>
      </c>
      <c r="B1" s="41" t="s">
        <v>17</v>
      </c>
      <c r="C1" s="41" t="s">
        <v>38</v>
      </c>
      <c r="D1" s="41" t="s">
        <v>27</v>
      </c>
      <c r="E1" s="41" t="s">
        <v>636</v>
      </c>
      <c r="F1" s="41" t="s">
        <v>637</v>
      </c>
    </row>
    <row r="2" spans="1:6">
      <c r="A2" s="42" t="s">
        <v>32</v>
      </c>
      <c r="B2" s="42" t="s">
        <v>18</v>
      </c>
      <c r="C2" s="43">
        <v>5.0000000000000001E-3</v>
      </c>
      <c r="D2" s="43">
        <v>5.0000000000000001E-3</v>
      </c>
      <c r="E2" s="43">
        <v>5.0000000000000001E-3</v>
      </c>
      <c r="F2" s="43">
        <v>5.0000000000000001E-3</v>
      </c>
    </row>
    <row r="3" spans="1:6">
      <c r="A3" s="42" t="s">
        <v>33</v>
      </c>
      <c r="B3" s="42" t="s">
        <v>19</v>
      </c>
      <c r="C3" s="43">
        <v>1.4999999999999999E-2</v>
      </c>
      <c r="D3" s="43">
        <v>1.4999999999999999E-2</v>
      </c>
      <c r="E3" s="122">
        <v>1.4999999999999999E-2</v>
      </c>
      <c r="F3" s="122">
        <v>2.5000000000000001E-2</v>
      </c>
    </row>
    <row r="4" spans="1:6">
      <c r="A4" s="42" t="s">
        <v>34</v>
      </c>
      <c r="B4" s="42" t="s">
        <v>20</v>
      </c>
      <c r="C4" s="43">
        <v>1.4999999999999999E-2</v>
      </c>
      <c r="D4" s="43">
        <v>1.4999999999999999E-2</v>
      </c>
      <c r="E4" s="122">
        <v>1.4999999999999999E-2</v>
      </c>
      <c r="F4" s="122">
        <v>2.5000000000000001E-2</v>
      </c>
    </row>
    <row r="5" spans="1:6">
      <c r="A5" s="42" t="s">
        <v>35</v>
      </c>
      <c r="B5" s="42" t="s">
        <v>21</v>
      </c>
      <c r="C5" s="43">
        <v>5.0000000000000001E-3</v>
      </c>
      <c r="D5" s="43">
        <v>5.0000000000000001E-3</v>
      </c>
      <c r="E5" s="122">
        <v>5.0000000000000001E-3</v>
      </c>
      <c r="F5" s="122">
        <v>0.01</v>
      </c>
    </row>
    <row r="6" spans="1:6">
      <c r="A6" s="42" t="s">
        <v>36</v>
      </c>
      <c r="B6" s="42" t="s">
        <v>23</v>
      </c>
      <c r="C6" s="43">
        <v>1.2999999999999999E-2</v>
      </c>
      <c r="D6" s="43">
        <v>1.2999999999999999E-2</v>
      </c>
      <c r="E6" s="43">
        <v>1.2999999999999999E-2</v>
      </c>
      <c r="F6" s="43">
        <v>1.2999999999999999E-2</v>
      </c>
    </row>
    <row r="7" spans="1:6">
      <c r="A7" s="42" t="s">
        <v>613</v>
      </c>
      <c r="B7" s="42" t="s">
        <v>367</v>
      </c>
      <c r="C7" s="43">
        <v>5.0000000000000001E-3</v>
      </c>
      <c r="D7" s="43">
        <v>5.0000000000000001E-3</v>
      </c>
      <c r="E7" s="43">
        <v>5.0000000000000001E-3</v>
      </c>
      <c r="F7" s="43">
        <v>5.0000000000000001E-3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5754-8241-4B0C-869C-6A732C539C90}">
  <sheetPr codeName="Sheet9"/>
  <dimension ref="A1:J252"/>
  <sheetViews>
    <sheetView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10.28515625" bestFit="1" customWidth="1"/>
    <col min="2" max="2" width="13.85546875" bestFit="1" customWidth="1"/>
    <col min="4" max="4" width="12.5703125" bestFit="1" customWidth="1"/>
    <col min="8" max="9" width="10.42578125" bestFit="1" customWidth="1"/>
    <col min="11" max="12" width="10.42578125" bestFit="1" customWidth="1"/>
  </cols>
  <sheetData>
    <row r="1" spans="1:10">
      <c r="A1" s="7" t="s">
        <v>24</v>
      </c>
      <c r="B1" s="7" t="s">
        <v>17</v>
      </c>
      <c r="C1" s="7" t="s">
        <v>308</v>
      </c>
      <c r="D1" s="7" t="s">
        <v>309</v>
      </c>
      <c r="E1" s="7" t="s">
        <v>310</v>
      </c>
      <c r="F1" s="7" t="s">
        <v>311</v>
      </c>
      <c r="G1" t="s">
        <v>376</v>
      </c>
    </row>
    <row r="2" spans="1:10">
      <c r="A2" t="s">
        <v>37</v>
      </c>
      <c r="B2" t="s">
        <v>18</v>
      </c>
      <c r="C2" t="s">
        <v>38</v>
      </c>
      <c r="D2" t="s">
        <v>52</v>
      </c>
      <c r="E2" t="s">
        <v>107</v>
      </c>
      <c r="F2" t="s">
        <v>27</v>
      </c>
      <c r="G2" t="s">
        <v>173</v>
      </c>
      <c r="H2" s="2"/>
      <c r="I2" s="2" t="s">
        <v>312</v>
      </c>
      <c r="J2" s="2" t="s">
        <v>145</v>
      </c>
    </row>
    <row r="3" spans="1:10">
      <c r="A3" t="s">
        <v>42</v>
      </c>
      <c r="B3" t="s">
        <v>18</v>
      </c>
      <c r="C3" t="s">
        <v>38</v>
      </c>
      <c r="D3" t="s">
        <v>248</v>
      </c>
      <c r="E3" t="s">
        <v>124</v>
      </c>
      <c r="F3" t="s">
        <v>27</v>
      </c>
      <c r="G3" t="s">
        <v>249</v>
      </c>
      <c r="H3" s="27" t="s">
        <v>313</v>
      </c>
      <c r="I3" s="27" t="s">
        <v>42</v>
      </c>
      <c r="J3" s="27" t="s">
        <v>37</v>
      </c>
    </row>
    <row r="4" spans="1:10">
      <c r="A4" t="s">
        <v>42</v>
      </c>
      <c r="B4" t="s">
        <v>18</v>
      </c>
      <c r="C4" t="s">
        <v>38</v>
      </c>
      <c r="D4" t="s">
        <v>314</v>
      </c>
      <c r="E4" t="s">
        <v>100</v>
      </c>
      <c r="F4" t="s">
        <v>27</v>
      </c>
      <c r="G4" t="s">
        <v>377</v>
      </c>
      <c r="H4" s="27" t="s">
        <v>315</v>
      </c>
      <c r="I4" s="161" t="s">
        <v>316</v>
      </c>
      <c r="J4" s="161"/>
    </row>
    <row r="5" spans="1:10">
      <c r="A5" t="s">
        <v>42</v>
      </c>
      <c r="B5" t="s">
        <v>18</v>
      </c>
      <c r="C5" t="s">
        <v>38</v>
      </c>
      <c r="D5" t="s">
        <v>54</v>
      </c>
      <c r="E5" t="s">
        <v>55</v>
      </c>
      <c r="F5" t="s">
        <v>27</v>
      </c>
      <c r="G5" t="s">
        <v>179</v>
      </c>
      <c r="H5" s="27" t="s">
        <v>317</v>
      </c>
      <c r="I5" s="161"/>
      <c r="J5" s="161"/>
    </row>
    <row r="6" spans="1:10">
      <c r="A6" t="s">
        <v>42</v>
      </c>
      <c r="B6" t="s">
        <v>18</v>
      </c>
      <c r="C6" t="s">
        <v>38</v>
      </c>
      <c r="D6" t="s">
        <v>177</v>
      </c>
      <c r="E6" t="s">
        <v>318</v>
      </c>
      <c r="F6" t="s">
        <v>27</v>
      </c>
      <c r="G6" t="s">
        <v>178</v>
      </c>
    </row>
    <row r="7" spans="1:10">
      <c r="A7" t="s">
        <v>37</v>
      </c>
      <c r="B7" t="s">
        <v>18</v>
      </c>
      <c r="C7" t="s">
        <v>38</v>
      </c>
      <c r="D7" t="s">
        <v>52</v>
      </c>
      <c r="E7" t="s">
        <v>107</v>
      </c>
      <c r="F7" t="s">
        <v>27</v>
      </c>
      <c r="G7" t="s">
        <v>173</v>
      </c>
    </row>
    <row r="8" spans="1:10">
      <c r="A8" t="s">
        <v>37</v>
      </c>
      <c r="B8" t="s">
        <v>18</v>
      </c>
      <c r="C8" t="s">
        <v>38</v>
      </c>
      <c r="D8" t="s">
        <v>98</v>
      </c>
      <c r="E8" t="s">
        <v>57</v>
      </c>
      <c r="F8" t="s">
        <v>27</v>
      </c>
      <c r="G8" t="s">
        <v>168</v>
      </c>
    </row>
    <row r="9" spans="1:10">
      <c r="A9" t="s">
        <v>37</v>
      </c>
      <c r="B9" t="s">
        <v>18</v>
      </c>
      <c r="C9" t="s">
        <v>38</v>
      </c>
      <c r="D9" t="s">
        <v>115</v>
      </c>
      <c r="E9" t="s">
        <v>91</v>
      </c>
      <c r="F9" t="s">
        <v>27</v>
      </c>
      <c r="G9" t="s">
        <v>170</v>
      </c>
    </row>
    <row r="10" spans="1:10">
      <c r="A10" t="s">
        <v>37</v>
      </c>
      <c r="B10" t="s">
        <v>18</v>
      </c>
      <c r="C10" t="s">
        <v>38</v>
      </c>
      <c r="D10" t="s">
        <v>319</v>
      </c>
      <c r="E10" t="s">
        <v>320</v>
      </c>
      <c r="F10" t="s">
        <v>27</v>
      </c>
      <c r="G10" t="s">
        <v>378</v>
      </c>
    </row>
    <row r="11" spans="1:10">
      <c r="A11" t="s">
        <v>43</v>
      </c>
      <c r="B11" t="s">
        <v>18</v>
      </c>
      <c r="C11" t="s">
        <v>38</v>
      </c>
      <c r="D11" t="s">
        <v>68</v>
      </c>
      <c r="E11" t="s">
        <v>59</v>
      </c>
      <c r="F11" t="s">
        <v>27</v>
      </c>
      <c r="G11" t="s">
        <v>237</v>
      </c>
    </row>
    <row r="12" spans="1:10">
      <c r="A12" t="s">
        <v>43</v>
      </c>
      <c r="B12" t="s">
        <v>18</v>
      </c>
      <c r="C12" t="s">
        <v>38</v>
      </c>
      <c r="D12" t="s">
        <v>307</v>
      </c>
      <c r="E12" t="s">
        <v>321</v>
      </c>
      <c r="F12" t="s">
        <v>27</v>
      </c>
      <c r="G12" t="s">
        <v>379</v>
      </c>
    </row>
    <row r="13" spans="1:10">
      <c r="A13" t="s">
        <v>25</v>
      </c>
      <c r="B13" t="s">
        <v>18</v>
      </c>
      <c r="C13" t="s">
        <v>38</v>
      </c>
      <c r="D13" t="s">
        <v>112</v>
      </c>
      <c r="E13" t="s">
        <v>56</v>
      </c>
      <c r="F13" t="s">
        <v>27</v>
      </c>
      <c r="G13" t="s">
        <v>278</v>
      </c>
    </row>
    <row r="14" spans="1:10">
      <c r="A14" t="s">
        <v>25</v>
      </c>
      <c r="B14" t="s">
        <v>18</v>
      </c>
      <c r="C14" t="s">
        <v>38</v>
      </c>
      <c r="D14" t="s">
        <v>95</v>
      </c>
      <c r="E14" t="s">
        <v>58</v>
      </c>
      <c r="F14" t="s">
        <v>27</v>
      </c>
      <c r="G14" t="s">
        <v>215</v>
      </c>
    </row>
    <row r="15" spans="1:10">
      <c r="A15" t="s">
        <v>42</v>
      </c>
      <c r="B15" t="s">
        <v>19</v>
      </c>
      <c r="C15" t="s">
        <v>38</v>
      </c>
      <c r="D15" t="s">
        <v>250</v>
      </c>
      <c r="E15" t="s">
        <v>104</v>
      </c>
      <c r="F15" t="s">
        <v>27</v>
      </c>
      <c r="G15" t="s">
        <v>251</v>
      </c>
    </row>
    <row r="16" spans="1:10">
      <c r="A16" t="s">
        <v>42</v>
      </c>
      <c r="B16" t="s">
        <v>19</v>
      </c>
      <c r="C16" t="s">
        <v>38</v>
      </c>
      <c r="D16" t="s">
        <v>75</v>
      </c>
      <c r="E16" t="s">
        <v>76</v>
      </c>
      <c r="F16" t="s">
        <v>27</v>
      </c>
      <c r="G16" t="s">
        <v>181</v>
      </c>
    </row>
    <row r="17" spans="1:7">
      <c r="A17" t="s">
        <v>42</v>
      </c>
      <c r="B17" t="s">
        <v>19</v>
      </c>
      <c r="C17" t="s">
        <v>38</v>
      </c>
      <c r="D17" t="s">
        <v>250</v>
      </c>
      <c r="E17" t="s">
        <v>104</v>
      </c>
      <c r="F17" t="s">
        <v>27</v>
      </c>
      <c r="G17" t="s">
        <v>251</v>
      </c>
    </row>
    <row r="18" spans="1:7">
      <c r="A18" t="s">
        <v>42</v>
      </c>
      <c r="B18" t="s">
        <v>19</v>
      </c>
      <c r="C18" t="s">
        <v>38</v>
      </c>
      <c r="D18" t="s">
        <v>322</v>
      </c>
      <c r="E18" t="s">
        <v>323</v>
      </c>
      <c r="F18" t="s">
        <v>27</v>
      </c>
      <c r="G18" t="s">
        <v>380</v>
      </c>
    </row>
    <row r="19" spans="1:7">
      <c r="A19" t="s">
        <v>42</v>
      </c>
      <c r="B19" t="s">
        <v>19</v>
      </c>
      <c r="C19" t="s">
        <v>38</v>
      </c>
      <c r="D19" t="s">
        <v>324</v>
      </c>
      <c r="E19" t="s">
        <v>325</v>
      </c>
      <c r="F19" t="s">
        <v>27</v>
      </c>
      <c r="G19" t="s">
        <v>381</v>
      </c>
    </row>
    <row r="20" spans="1:7">
      <c r="A20" t="s">
        <v>42</v>
      </c>
      <c r="B20" t="s">
        <v>19</v>
      </c>
      <c r="C20" t="s">
        <v>38</v>
      </c>
      <c r="D20" t="s">
        <v>326</v>
      </c>
      <c r="E20" t="s">
        <v>327</v>
      </c>
      <c r="F20" t="s">
        <v>27</v>
      </c>
      <c r="G20" t="s">
        <v>382</v>
      </c>
    </row>
    <row r="21" spans="1:7">
      <c r="A21" t="s">
        <v>42</v>
      </c>
      <c r="B21" t="s">
        <v>19</v>
      </c>
      <c r="C21" t="s">
        <v>38</v>
      </c>
      <c r="D21" t="s">
        <v>328</v>
      </c>
      <c r="E21" t="s">
        <v>329</v>
      </c>
      <c r="F21" t="s">
        <v>27</v>
      </c>
      <c r="G21" t="s">
        <v>383</v>
      </c>
    </row>
    <row r="22" spans="1:7">
      <c r="A22" t="s">
        <v>42</v>
      </c>
      <c r="B22" t="s">
        <v>19</v>
      </c>
      <c r="C22" t="s">
        <v>38</v>
      </c>
      <c r="D22" t="s">
        <v>186</v>
      </c>
      <c r="E22" t="s">
        <v>77</v>
      </c>
      <c r="F22" t="s">
        <v>27</v>
      </c>
      <c r="G22" t="s">
        <v>187</v>
      </c>
    </row>
    <row r="23" spans="1:7">
      <c r="A23" t="s">
        <v>42</v>
      </c>
      <c r="B23" t="s">
        <v>19</v>
      </c>
      <c r="C23" t="s">
        <v>38</v>
      </c>
      <c r="D23" t="s">
        <v>254</v>
      </c>
      <c r="E23" t="s">
        <v>97</v>
      </c>
      <c r="F23" t="s">
        <v>27</v>
      </c>
      <c r="G23" t="s">
        <v>255</v>
      </c>
    </row>
    <row r="24" spans="1:7">
      <c r="A24" t="s">
        <v>42</v>
      </c>
      <c r="B24" t="s">
        <v>19</v>
      </c>
      <c r="C24" t="s">
        <v>38</v>
      </c>
      <c r="D24" t="s">
        <v>330</v>
      </c>
      <c r="E24" t="s">
        <v>331</v>
      </c>
      <c r="F24" t="s">
        <v>27</v>
      </c>
      <c r="G24" t="s">
        <v>384</v>
      </c>
    </row>
    <row r="25" spans="1:7">
      <c r="A25" t="s">
        <v>44</v>
      </c>
      <c r="B25" t="s">
        <v>19</v>
      </c>
      <c r="C25" t="s">
        <v>38</v>
      </c>
      <c r="D25" t="s">
        <v>202</v>
      </c>
      <c r="E25" t="s">
        <v>332</v>
      </c>
      <c r="F25" t="s">
        <v>27</v>
      </c>
      <c r="G25" t="s">
        <v>203</v>
      </c>
    </row>
    <row r="26" spans="1:7">
      <c r="A26" t="s">
        <v>44</v>
      </c>
      <c r="B26" t="s">
        <v>19</v>
      </c>
      <c r="C26" t="s">
        <v>38</v>
      </c>
      <c r="D26" t="s">
        <v>80</v>
      </c>
      <c r="E26" t="s">
        <v>71</v>
      </c>
      <c r="F26" t="s">
        <v>27</v>
      </c>
      <c r="G26" t="s">
        <v>208</v>
      </c>
    </row>
    <row r="27" spans="1:7">
      <c r="A27" t="s">
        <v>44</v>
      </c>
      <c r="B27" t="s">
        <v>19</v>
      </c>
      <c r="C27" t="s">
        <v>38</v>
      </c>
      <c r="D27" t="s">
        <v>114</v>
      </c>
      <c r="E27" t="s">
        <v>260</v>
      </c>
      <c r="F27" t="s">
        <v>27</v>
      </c>
      <c r="G27" t="s">
        <v>214</v>
      </c>
    </row>
    <row r="28" spans="1:7">
      <c r="A28" t="s">
        <v>44</v>
      </c>
      <c r="B28" t="s">
        <v>19</v>
      </c>
      <c r="C28" t="s">
        <v>38</v>
      </c>
      <c r="D28" t="s">
        <v>333</v>
      </c>
      <c r="E28" t="s">
        <v>334</v>
      </c>
      <c r="F28" t="s">
        <v>27</v>
      </c>
      <c r="G28" t="s">
        <v>385</v>
      </c>
    </row>
    <row r="29" spans="1:7">
      <c r="A29" t="s">
        <v>44</v>
      </c>
      <c r="B29" t="s">
        <v>19</v>
      </c>
      <c r="C29" t="s">
        <v>38</v>
      </c>
      <c r="D29" t="s">
        <v>204</v>
      </c>
      <c r="E29" t="s">
        <v>335</v>
      </c>
      <c r="F29" t="s">
        <v>27</v>
      </c>
      <c r="G29" t="s">
        <v>205</v>
      </c>
    </row>
    <row r="30" spans="1:7">
      <c r="A30" t="s">
        <v>44</v>
      </c>
      <c r="B30" t="s">
        <v>19</v>
      </c>
      <c r="C30" t="s">
        <v>38</v>
      </c>
      <c r="D30" t="s">
        <v>144</v>
      </c>
      <c r="E30" t="s">
        <v>74</v>
      </c>
      <c r="F30" t="s">
        <v>27</v>
      </c>
      <c r="G30" t="s">
        <v>386</v>
      </c>
    </row>
    <row r="31" spans="1:7">
      <c r="A31" t="s">
        <v>44</v>
      </c>
      <c r="B31" t="s">
        <v>19</v>
      </c>
      <c r="C31" t="s">
        <v>38</v>
      </c>
      <c r="D31" t="s">
        <v>53</v>
      </c>
      <c r="E31" t="s">
        <v>96</v>
      </c>
      <c r="F31" t="s">
        <v>27</v>
      </c>
      <c r="G31" t="s">
        <v>206</v>
      </c>
    </row>
    <row r="32" spans="1:7">
      <c r="A32" t="s">
        <v>43</v>
      </c>
      <c r="B32" t="s">
        <v>19</v>
      </c>
      <c r="C32" t="s">
        <v>38</v>
      </c>
      <c r="D32" t="s">
        <v>79</v>
      </c>
      <c r="E32" t="s">
        <v>60</v>
      </c>
      <c r="F32" t="s">
        <v>27</v>
      </c>
      <c r="G32" t="s">
        <v>240</v>
      </c>
    </row>
    <row r="33" spans="1:7">
      <c r="A33" t="s">
        <v>43</v>
      </c>
      <c r="B33" t="s">
        <v>19</v>
      </c>
      <c r="C33" t="s">
        <v>38</v>
      </c>
      <c r="D33" t="s">
        <v>122</v>
      </c>
      <c r="E33" t="s">
        <v>280</v>
      </c>
      <c r="F33" t="s">
        <v>27</v>
      </c>
      <c r="G33" t="s">
        <v>287</v>
      </c>
    </row>
    <row r="34" spans="1:7">
      <c r="A34" t="s">
        <v>42</v>
      </c>
      <c r="B34" t="s">
        <v>20</v>
      </c>
      <c r="C34" t="s">
        <v>38</v>
      </c>
      <c r="D34" t="s">
        <v>336</v>
      </c>
      <c r="E34" t="s">
        <v>89</v>
      </c>
      <c r="F34" t="s">
        <v>27</v>
      </c>
      <c r="G34" t="s">
        <v>387</v>
      </c>
    </row>
    <row r="35" spans="1:7">
      <c r="A35" t="s">
        <v>42</v>
      </c>
      <c r="B35" t="s">
        <v>20</v>
      </c>
      <c r="C35" t="s">
        <v>38</v>
      </c>
      <c r="D35" t="s">
        <v>256</v>
      </c>
      <c r="E35" t="s">
        <v>337</v>
      </c>
      <c r="F35" t="s">
        <v>27</v>
      </c>
      <c r="G35" t="s">
        <v>257</v>
      </c>
    </row>
    <row r="36" spans="1:7">
      <c r="A36" t="s">
        <v>42</v>
      </c>
      <c r="B36" t="s">
        <v>20</v>
      </c>
      <c r="C36" t="s">
        <v>38</v>
      </c>
      <c r="D36" t="s">
        <v>338</v>
      </c>
      <c r="E36" t="s">
        <v>258</v>
      </c>
      <c r="F36" t="s">
        <v>27</v>
      </c>
      <c r="G36" t="s">
        <v>388</v>
      </c>
    </row>
    <row r="37" spans="1:7">
      <c r="A37" t="s">
        <v>42</v>
      </c>
      <c r="B37" t="s">
        <v>20</v>
      </c>
      <c r="C37" t="s">
        <v>38</v>
      </c>
      <c r="D37" t="s">
        <v>126</v>
      </c>
      <c r="E37" t="s">
        <v>339</v>
      </c>
      <c r="F37" t="s">
        <v>27</v>
      </c>
      <c r="G37" t="s">
        <v>195</v>
      </c>
    </row>
    <row r="38" spans="1:7">
      <c r="A38" t="s">
        <v>42</v>
      </c>
      <c r="B38" t="s">
        <v>20</v>
      </c>
      <c r="C38" t="s">
        <v>38</v>
      </c>
      <c r="D38" t="s">
        <v>340</v>
      </c>
      <c r="E38" t="s">
        <v>341</v>
      </c>
      <c r="F38" t="s">
        <v>27</v>
      </c>
      <c r="G38" t="s">
        <v>389</v>
      </c>
    </row>
    <row r="39" spans="1:7">
      <c r="A39" t="s">
        <v>44</v>
      </c>
      <c r="B39" t="s">
        <v>20</v>
      </c>
      <c r="C39" t="s">
        <v>38</v>
      </c>
      <c r="D39" t="s">
        <v>342</v>
      </c>
      <c r="E39" t="s">
        <v>281</v>
      </c>
      <c r="F39" t="s">
        <v>27</v>
      </c>
      <c r="G39" t="s">
        <v>210</v>
      </c>
    </row>
    <row r="40" spans="1:7">
      <c r="A40" t="s">
        <v>44</v>
      </c>
      <c r="B40" t="s">
        <v>20</v>
      </c>
      <c r="C40" t="s">
        <v>38</v>
      </c>
      <c r="D40" t="s">
        <v>343</v>
      </c>
      <c r="E40" t="s">
        <v>344</v>
      </c>
      <c r="F40" t="s">
        <v>27</v>
      </c>
      <c r="G40" t="s">
        <v>390</v>
      </c>
    </row>
    <row r="41" spans="1:7">
      <c r="A41" t="s">
        <v>44</v>
      </c>
      <c r="B41" t="s">
        <v>20</v>
      </c>
      <c r="C41" t="s">
        <v>38</v>
      </c>
      <c r="D41" t="s">
        <v>90</v>
      </c>
      <c r="E41" t="s">
        <v>345</v>
      </c>
      <c r="F41" t="s">
        <v>27</v>
      </c>
      <c r="G41" t="s">
        <v>211</v>
      </c>
    </row>
    <row r="42" spans="1:7">
      <c r="A42" t="s">
        <v>44</v>
      </c>
      <c r="B42" t="s">
        <v>20</v>
      </c>
      <c r="C42" t="s">
        <v>38</v>
      </c>
      <c r="D42" t="s">
        <v>306</v>
      </c>
      <c r="E42" t="s">
        <v>346</v>
      </c>
      <c r="F42" t="s">
        <v>27</v>
      </c>
      <c r="G42" t="s">
        <v>391</v>
      </c>
    </row>
    <row r="43" spans="1:7">
      <c r="A43" t="s">
        <v>44</v>
      </c>
      <c r="B43" t="s">
        <v>20</v>
      </c>
      <c r="C43" t="s">
        <v>38</v>
      </c>
      <c r="D43" t="s">
        <v>347</v>
      </c>
      <c r="E43" t="s">
        <v>348</v>
      </c>
      <c r="F43" t="s">
        <v>27</v>
      </c>
      <c r="G43" t="s">
        <v>392</v>
      </c>
    </row>
    <row r="44" spans="1:7">
      <c r="A44" t="s">
        <v>42</v>
      </c>
      <c r="B44" t="s">
        <v>20</v>
      </c>
      <c r="C44" t="s">
        <v>38</v>
      </c>
      <c r="D44" t="s">
        <v>349</v>
      </c>
      <c r="E44" t="s">
        <v>350</v>
      </c>
      <c r="F44" t="s">
        <v>27</v>
      </c>
      <c r="G44" t="s">
        <v>393</v>
      </c>
    </row>
    <row r="45" spans="1:7">
      <c r="A45" t="s">
        <v>42</v>
      </c>
      <c r="B45" t="s">
        <v>20</v>
      </c>
      <c r="C45" t="s">
        <v>38</v>
      </c>
      <c r="D45" t="s">
        <v>351</v>
      </c>
      <c r="E45" t="s">
        <v>352</v>
      </c>
      <c r="F45" t="s">
        <v>27</v>
      </c>
      <c r="G45" t="s">
        <v>394</v>
      </c>
    </row>
    <row r="46" spans="1:7">
      <c r="A46" t="s">
        <v>26</v>
      </c>
      <c r="B46" t="s">
        <v>20</v>
      </c>
      <c r="C46" t="s">
        <v>38</v>
      </c>
      <c r="D46" t="s">
        <v>102</v>
      </c>
      <c r="E46" t="s">
        <v>127</v>
      </c>
      <c r="F46" t="s">
        <v>27</v>
      </c>
      <c r="G46" t="s">
        <v>395</v>
      </c>
    </row>
    <row r="47" spans="1:7">
      <c r="A47" t="s">
        <v>26</v>
      </c>
      <c r="B47" t="s">
        <v>20</v>
      </c>
      <c r="C47" t="s">
        <v>38</v>
      </c>
      <c r="D47" t="s">
        <v>94</v>
      </c>
      <c r="E47" t="s">
        <v>232</v>
      </c>
      <c r="F47" t="s">
        <v>27</v>
      </c>
      <c r="G47" t="s">
        <v>264</v>
      </c>
    </row>
    <row r="48" spans="1:7">
      <c r="A48" t="s">
        <v>26</v>
      </c>
      <c r="B48" t="s">
        <v>20</v>
      </c>
      <c r="C48" t="s">
        <v>38</v>
      </c>
      <c r="D48" t="s">
        <v>146</v>
      </c>
      <c r="E48" t="s">
        <v>123</v>
      </c>
      <c r="F48" t="s">
        <v>27</v>
      </c>
      <c r="G48" t="s">
        <v>263</v>
      </c>
    </row>
    <row r="49" spans="1:7">
      <c r="A49" t="s">
        <v>26</v>
      </c>
      <c r="B49" t="s">
        <v>20</v>
      </c>
      <c r="C49" t="s">
        <v>38</v>
      </c>
      <c r="D49" t="s">
        <v>105</v>
      </c>
      <c r="E49" t="s">
        <v>69</v>
      </c>
      <c r="F49" t="s">
        <v>27</v>
      </c>
      <c r="G49" t="s">
        <v>228</v>
      </c>
    </row>
    <row r="50" spans="1:7">
      <c r="A50" t="s">
        <v>26</v>
      </c>
      <c r="B50" t="s">
        <v>20</v>
      </c>
      <c r="C50" t="s">
        <v>38</v>
      </c>
      <c r="D50" t="s">
        <v>81</v>
      </c>
      <c r="E50" t="s">
        <v>119</v>
      </c>
      <c r="F50" t="s">
        <v>27</v>
      </c>
      <c r="G50" t="s">
        <v>231</v>
      </c>
    </row>
    <row r="51" spans="1:7">
      <c r="A51" t="s">
        <v>26</v>
      </c>
      <c r="B51" t="s">
        <v>20</v>
      </c>
      <c r="C51" t="s">
        <v>38</v>
      </c>
      <c r="D51" t="s">
        <v>164</v>
      </c>
      <c r="E51" t="s">
        <v>234</v>
      </c>
      <c r="F51" t="s">
        <v>27</v>
      </c>
      <c r="G51" t="s">
        <v>265</v>
      </c>
    </row>
    <row r="52" spans="1:7">
      <c r="A52" t="s">
        <v>26</v>
      </c>
      <c r="B52" t="s">
        <v>20</v>
      </c>
      <c r="C52" t="s">
        <v>38</v>
      </c>
      <c r="D52" t="s">
        <v>229</v>
      </c>
      <c r="E52" t="s">
        <v>92</v>
      </c>
      <c r="F52" t="s">
        <v>27</v>
      </c>
      <c r="G52" t="s">
        <v>230</v>
      </c>
    </row>
    <row r="53" spans="1:7">
      <c r="A53" t="s">
        <v>26</v>
      </c>
      <c r="B53" t="s">
        <v>20</v>
      </c>
      <c r="C53" t="s">
        <v>38</v>
      </c>
      <c r="D53" t="s">
        <v>143</v>
      </c>
      <c r="E53" t="s">
        <v>72</v>
      </c>
      <c r="F53" t="s">
        <v>27</v>
      </c>
      <c r="G53" t="s">
        <v>288</v>
      </c>
    </row>
    <row r="54" spans="1:7">
      <c r="A54" t="s">
        <v>26</v>
      </c>
      <c r="B54" t="s">
        <v>20</v>
      </c>
      <c r="C54" t="s">
        <v>38</v>
      </c>
      <c r="D54" t="s">
        <v>302</v>
      </c>
      <c r="E54" t="s">
        <v>303</v>
      </c>
      <c r="F54" t="s">
        <v>27</v>
      </c>
      <c r="G54" t="s">
        <v>396</v>
      </c>
    </row>
    <row r="55" spans="1:7">
      <c r="A55" t="s">
        <v>26</v>
      </c>
      <c r="B55" t="s">
        <v>20</v>
      </c>
      <c r="C55" t="s">
        <v>38</v>
      </c>
      <c r="D55" t="s">
        <v>125</v>
      </c>
      <c r="E55" t="s">
        <v>305</v>
      </c>
      <c r="F55" t="s">
        <v>27</v>
      </c>
      <c r="G55" t="s">
        <v>289</v>
      </c>
    </row>
    <row r="56" spans="1:7">
      <c r="A56" t="s">
        <v>26</v>
      </c>
      <c r="B56" t="s">
        <v>20</v>
      </c>
      <c r="C56" t="s">
        <v>38</v>
      </c>
      <c r="D56" t="s">
        <v>304</v>
      </c>
      <c r="E56" t="s">
        <v>73</v>
      </c>
      <c r="F56" t="s">
        <v>27</v>
      </c>
      <c r="G56" t="s">
        <v>397</v>
      </c>
    </row>
    <row r="57" spans="1:7">
      <c r="A57" t="s">
        <v>353</v>
      </c>
      <c r="B57" t="s">
        <v>20</v>
      </c>
      <c r="C57" t="s">
        <v>38</v>
      </c>
      <c r="D57" t="s">
        <v>197</v>
      </c>
      <c r="E57" t="s">
        <v>354</v>
      </c>
      <c r="F57" t="s">
        <v>27</v>
      </c>
      <c r="G57" t="s">
        <v>198</v>
      </c>
    </row>
    <row r="58" spans="1:7">
      <c r="A58" t="s">
        <v>353</v>
      </c>
      <c r="B58" t="s">
        <v>20</v>
      </c>
      <c r="C58" t="s">
        <v>38</v>
      </c>
      <c r="D58" t="s">
        <v>82</v>
      </c>
      <c r="E58" t="s">
        <v>355</v>
      </c>
      <c r="F58" t="s">
        <v>27</v>
      </c>
      <c r="G58" t="s">
        <v>196</v>
      </c>
    </row>
    <row r="59" spans="1:7">
      <c r="A59" t="s">
        <v>353</v>
      </c>
      <c r="B59" t="s">
        <v>20</v>
      </c>
      <c r="C59" t="s">
        <v>38</v>
      </c>
      <c r="D59" t="s">
        <v>190</v>
      </c>
      <c r="E59" t="s">
        <v>188</v>
      </c>
      <c r="F59" t="s">
        <v>27</v>
      </c>
      <c r="G59" t="s">
        <v>191</v>
      </c>
    </row>
    <row r="60" spans="1:7">
      <c r="A60" t="s">
        <v>353</v>
      </c>
      <c r="B60" t="s">
        <v>20</v>
      </c>
      <c r="C60" t="s">
        <v>38</v>
      </c>
      <c r="D60" t="s">
        <v>356</v>
      </c>
      <c r="E60" t="s">
        <v>199</v>
      </c>
      <c r="F60" t="s">
        <v>27</v>
      </c>
      <c r="G60" t="s">
        <v>398</v>
      </c>
    </row>
    <row r="61" spans="1:7">
      <c r="A61" t="s">
        <v>353</v>
      </c>
      <c r="B61" t="s">
        <v>20</v>
      </c>
      <c r="C61" t="s">
        <v>38</v>
      </c>
      <c r="D61" t="s">
        <v>357</v>
      </c>
      <c r="E61" t="s">
        <v>193</v>
      </c>
      <c r="F61" t="s">
        <v>27</v>
      </c>
      <c r="G61" t="s">
        <v>399</v>
      </c>
    </row>
    <row r="62" spans="1:7">
      <c r="A62" t="s">
        <v>353</v>
      </c>
      <c r="B62" t="s">
        <v>20</v>
      </c>
      <c r="C62" t="s">
        <v>38</v>
      </c>
      <c r="D62" t="s">
        <v>358</v>
      </c>
      <c r="E62" t="s">
        <v>359</v>
      </c>
      <c r="F62" t="s">
        <v>27</v>
      </c>
      <c r="G62" t="s">
        <v>400</v>
      </c>
    </row>
    <row r="63" spans="1:7">
      <c r="A63" t="s">
        <v>47</v>
      </c>
      <c r="B63" t="s">
        <v>20</v>
      </c>
      <c r="C63" t="s">
        <v>38</v>
      </c>
      <c r="D63" t="s">
        <v>245</v>
      </c>
      <c r="E63" t="s">
        <v>70</v>
      </c>
      <c r="F63" t="s">
        <v>27</v>
      </c>
      <c r="G63" t="s">
        <v>48</v>
      </c>
    </row>
    <row r="64" spans="1:7">
      <c r="A64" t="s">
        <v>360</v>
      </c>
      <c r="B64" t="s">
        <v>20</v>
      </c>
      <c r="C64" t="s">
        <v>38</v>
      </c>
      <c r="D64" t="s">
        <v>361</v>
      </c>
      <c r="E64" t="s">
        <v>362</v>
      </c>
      <c r="F64" t="s">
        <v>27</v>
      </c>
      <c r="G64" t="s">
        <v>401</v>
      </c>
    </row>
    <row r="65" spans="1:7">
      <c r="A65" t="s">
        <v>270</v>
      </c>
      <c r="B65" t="s">
        <v>21</v>
      </c>
      <c r="C65" t="s">
        <v>38</v>
      </c>
      <c r="D65" t="s">
        <v>116</v>
      </c>
      <c r="E65" t="s">
        <v>363</v>
      </c>
      <c r="F65" t="s">
        <v>27</v>
      </c>
      <c r="G65" t="s">
        <v>402</v>
      </c>
    </row>
    <row r="66" spans="1:7">
      <c r="A66" t="s">
        <v>270</v>
      </c>
      <c r="B66" t="s">
        <v>21</v>
      </c>
      <c r="C66" t="s">
        <v>38</v>
      </c>
      <c r="D66" t="s">
        <v>109</v>
      </c>
      <c r="E66" t="s">
        <v>121</v>
      </c>
      <c r="F66" t="s">
        <v>27</v>
      </c>
      <c r="G66" t="s">
        <v>297</v>
      </c>
    </row>
    <row r="67" spans="1:7">
      <c r="A67" t="s">
        <v>270</v>
      </c>
      <c r="B67" t="s">
        <v>21</v>
      </c>
      <c r="C67" t="s">
        <v>38</v>
      </c>
      <c r="D67" t="s">
        <v>147</v>
      </c>
      <c r="E67" t="s">
        <v>364</v>
      </c>
      <c r="F67" t="s">
        <v>27</v>
      </c>
      <c r="G67" t="s">
        <v>403</v>
      </c>
    </row>
    <row r="68" spans="1:7">
      <c r="A68" t="s">
        <v>270</v>
      </c>
      <c r="B68" t="s">
        <v>21</v>
      </c>
      <c r="C68" t="s">
        <v>38</v>
      </c>
      <c r="D68" t="s">
        <v>365</v>
      </c>
      <c r="E68" t="s">
        <v>366</v>
      </c>
      <c r="F68" t="s">
        <v>27</v>
      </c>
      <c r="G68" t="s">
        <v>404</v>
      </c>
    </row>
    <row r="69" spans="1:7">
      <c r="A69" t="s">
        <v>270</v>
      </c>
      <c r="B69" t="s">
        <v>367</v>
      </c>
      <c r="C69" t="s">
        <v>38</v>
      </c>
      <c r="D69" t="s">
        <v>148</v>
      </c>
      <c r="E69" t="s">
        <v>149</v>
      </c>
      <c r="F69" t="s">
        <v>27</v>
      </c>
      <c r="G69" t="s">
        <v>269</v>
      </c>
    </row>
    <row r="70" spans="1:7">
      <c r="A70" t="s">
        <v>270</v>
      </c>
      <c r="B70" t="s">
        <v>367</v>
      </c>
      <c r="C70" t="s">
        <v>38</v>
      </c>
      <c r="D70" t="s">
        <v>110</v>
      </c>
      <c r="E70" t="s">
        <v>113</v>
      </c>
      <c r="F70" t="s">
        <v>27</v>
      </c>
      <c r="G70" t="s">
        <v>277</v>
      </c>
    </row>
    <row r="71" spans="1:7">
      <c r="A71" t="s">
        <v>37</v>
      </c>
      <c r="B71" t="s">
        <v>367</v>
      </c>
      <c r="C71" t="s">
        <v>38</v>
      </c>
      <c r="D71" t="s">
        <v>284</v>
      </c>
      <c r="E71" t="s">
        <v>368</v>
      </c>
      <c r="F71" t="s">
        <v>27</v>
      </c>
      <c r="G71" t="s">
        <v>295</v>
      </c>
    </row>
    <row r="72" spans="1:7">
      <c r="A72" t="s">
        <v>37</v>
      </c>
      <c r="B72" t="s">
        <v>367</v>
      </c>
      <c r="C72" t="s">
        <v>38</v>
      </c>
      <c r="D72" t="s">
        <v>118</v>
      </c>
      <c r="E72" t="s">
        <v>99</v>
      </c>
      <c r="F72" t="s">
        <v>27</v>
      </c>
      <c r="G72" t="s">
        <v>175</v>
      </c>
    </row>
    <row r="73" spans="1:7">
      <c r="A73" t="s">
        <v>37</v>
      </c>
      <c r="B73" t="s">
        <v>367</v>
      </c>
      <c r="C73" t="s">
        <v>38</v>
      </c>
      <c r="D73" t="s">
        <v>66</v>
      </c>
      <c r="E73" t="s">
        <v>108</v>
      </c>
      <c r="F73" t="s">
        <v>27</v>
      </c>
      <c r="G73" t="s">
        <v>176</v>
      </c>
    </row>
    <row r="74" spans="1:7">
      <c r="A74" t="s">
        <v>270</v>
      </c>
      <c r="B74" t="s">
        <v>367</v>
      </c>
      <c r="C74" t="s">
        <v>38</v>
      </c>
      <c r="D74" t="s">
        <v>148</v>
      </c>
      <c r="E74" t="s">
        <v>149</v>
      </c>
      <c r="F74" t="s">
        <v>27</v>
      </c>
      <c r="G74" t="s">
        <v>269</v>
      </c>
    </row>
    <row r="75" spans="1:7">
      <c r="A75" t="s">
        <v>270</v>
      </c>
      <c r="B75" t="s">
        <v>367</v>
      </c>
      <c r="C75" t="s">
        <v>38</v>
      </c>
      <c r="D75" t="s">
        <v>110</v>
      </c>
      <c r="E75" t="s">
        <v>113</v>
      </c>
      <c r="F75" t="s">
        <v>27</v>
      </c>
      <c r="G75" t="s">
        <v>277</v>
      </c>
    </row>
    <row r="76" spans="1:7">
      <c r="A76" t="s">
        <v>43</v>
      </c>
      <c r="B76" t="s">
        <v>367</v>
      </c>
      <c r="C76" t="s">
        <v>38</v>
      </c>
      <c r="D76" t="s">
        <v>88</v>
      </c>
      <c r="E76" t="s">
        <v>86</v>
      </c>
      <c r="F76" t="s">
        <v>27</v>
      </c>
      <c r="G76" t="s">
        <v>242</v>
      </c>
    </row>
    <row r="77" spans="1:7">
      <c r="A77" t="s">
        <v>43</v>
      </c>
      <c r="B77" t="s">
        <v>367</v>
      </c>
      <c r="C77" t="s">
        <v>38</v>
      </c>
      <c r="D77" t="s">
        <v>51</v>
      </c>
      <c r="E77" t="s">
        <v>62</v>
      </c>
      <c r="F77" t="s">
        <v>27</v>
      </c>
      <c r="G77" t="s">
        <v>241</v>
      </c>
    </row>
    <row r="78" spans="1:7">
      <c r="A78" t="s">
        <v>25</v>
      </c>
      <c r="B78" t="s">
        <v>367</v>
      </c>
      <c r="C78" t="s">
        <v>38</v>
      </c>
      <c r="D78" t="s">
        <v>64</v>
      </c>
      <c r="E78" t="s">
        <v>61</v>
      </c>
      <c r="F78" t="s">
        <v>27</v>
      </c>
      <c r="G78" t="s">
        <v>29</v>
      </c>
    </row>
    <row r="79" spans="1:7">
      <c r="A79" t="s">
        <v>25</v>
      </c>
      <c r="B79" t="s">
        <v>367</v>
      </c>
      <c r="C79" t="s">
        <v>38</v>
      </c>
      <c r="D79" t="s">
        <v>165</v>
      </c>
      <c r="E79" t="s">
        <v>141</v>
      </c>
      <c r="F79" t="s">
        <v>27</v>
      </c>
      <c r="G79" t="s">
        <v>286</v>
      </c>
    </row>
    <row r="80" spans="1:7">
      <c r="A80" t="s">
        <v>25</v>
      </c>
      <c r="B80" t="s">
        <v>367</v>
      </c>
      <c r="C80" t="s">
        <v>38</v>
      </c>
      <c r="D80" t="s">
        <v>369</v>
      </c>
      <c r="E80" t="s">
        <v>370</v>
      </c>
      <c r="F80" t="s">
        <v>27</v>
      </c>
      <c r="G80" t="s">
        <v>405</v>
      </c>
    </row>
    <row r="81" spans="1:7">
      <c r="A81" t="s">
        <v>49</v>
      </c>
      <c r="B81" t="s">
        <v>23</v>
      </c>
      <c r="C81" t="s">
        <v>38</v>
      </c>
      <c r="D81" t="s">
        <v>63</v>
      </c>
      <c r="E81" t="s">
        <v>283</v>
      </c>
      <c r="F81" t="s">
        <v>27</v>
      </c>
      <c r="G81" t="s">
        <v>272</v>
      </c>
    </row>
    <row r="82" spans="1:7">
      <c r="A82" t="s">
        <v>49</v>
      </c>
      <c r="B82" t="s">
        <v>23</v>
      </c>
      <c r="C82" t="s">
        <v>38</v>
      </c>
      <c r="D82" t="s">
        <v>87</v>
      </c>
      <c r="E82" t="s">
        <v>84</v>
      </c>
      <c r="F82" t="s">
        <v>27</v>
      </c>
      <c r="G82" t="s">
        <v>227</v>
      </c>
    </row>
    <row r="83" spans="1:7">
      <c r="A83" t="s">
        <v>49</v>
      </c>
      <c r="B83" t="s">
        <v>23</v>
      </c>
      <c r="C83" t="s">
        <v>38</v>
      </c>
      <c r="D83" t="s">
        <v>103</v>
      </c>
      <c r="E83" t="s">
        <v>166</v>
      </c>
      <c r="F83" t="s">
        <v>27</v>
      </c>
      <c r="G83" t="s">
        <v>276</v>
      </c>
    </row>
    <row r="84" spans="1:7">
      <c r="A84" t="s">
        <v>49</v>
      </c>
      <c r="B84" t="s">
        <v>23</v>
      </c>
      <c r="C84" t="s">
        <v>38</v>
      </c>
      <c r="D84" t="s">
        <v>65</v>
      </c>
      <c r="E84" t="s">
        <v>371</v>
      </c>
      <c r="F84" t="s">
        <v>27</v>
      </c>
      <c r="G84" t="s">
        <v>274</v>
      </c>
    </row>
    <row r="85" spans="1:7">
      <c r="A85" t="s">
        <v>49</v>
      </c>
      <c r="B85" t="s">
        <v>23</v>
      </c>
      <c r="C85" t="s">
        <v>38</v>
      </c>
      <c r="D85" t="s">
        <v>120</v>
      </c>
      <c r="E85" t="s">
        <v>371</v>
      </c>
      <c r="F85" t="s">
        <v>27</v>
      </c>
      <c r="G85" t="s">
        <v>226</v>
      </c>
    </row>
    <row r="86" spans="1:7">
      <c r="A86" t="s">
        <v>49</v>
      </c>
      <c r="B86" t="s">
        <v>23</v>
      </c>
      <c r="C86" t="s">
        <v>38</v>
      </c>
      <c r="D86" t="s">
        <v>222</v>
      </c>
      <c r="E86" t="s">
        <v>371</v>
      </c>
      <c r="F86" t="s">
        <v>27</v>
      </c>
      <c r="G86" t="s">
        <v>223</v>
      </c>
    </row>
    <row r="87" spans="1:7">
      <c r="A87" t="s">
        <v>49</v>
      </c>
      <c r="B87" t="s">
        <v>23</v>
      </c>
      <c r="C87" t="s">
        <v>38</v>
      </c>
      <c r="D87" t="s">
        <v>372</v>
      </c>
      <c r="E87" t="s">
        <v>371</v>
      </c>
      <c r="F87" t="s">
        <v>27</v>
      </c>
      <c r="G87" t="s">
        <v>223</v>
      </c>
    </row>
    <row r="88" spans="1:7">
      <c r="A88" t="s">
        <v>49</v>
      </c>
      <c r="B88" t="s">
        <v>23</v>
      </c>
      <c r="C88" t="s">
        <v>38</v>
      </c>
      <c r="D88" t="s">
        <v>67</v>
      </c>
      <c r="E88" t="s">
        <v>371</v>
      </c>
      <c r="F88" t="s">
        <v>27</v>
      </c>
      <c r="G88" t="s">
        <v>224</v>
      </c>
    </row>
    <row r="89" spans="1:7">
      <c r="A89" t="s">
        <v>49</v>
      </c>
      <c r="B89" t="s">
        <v>23</v>
      </c>
      <c r="C89" t="s">
        <v>38</v>
      </c>
      <c r="D89" t="s">
        <v>120</v>
      </c>
      <c r="E89" t="s">
        <v>371</v>
      </c>
      <c r="F89" t="s">
        <v>27</v>
      </c>
      <c r="G89" t="s">
        <v>226</v>
      </c>
    </row>
    <row r="90" spans="1:7">
      <c r="A90" t="s">
        <v>49</v>
      </c>
      <c r="B90" t="s">
        <v>23</v>
      </c>
      <c r="C90" t="s">
        <v>38</v>
      </c>
      <c r="D90" t="s">
        <v>117</v>
      </c>
      <c r="E90" t="s">
        <v>371</v>
      </c>
      <c r="F90" t="s">
        <v>27</v>
      </c>
      <c r="G90" t="s">
        <v>275</v>
      </c>
    </row>
    <row r="91" spans="1:7">
      <c r="A91" t="s">
        <v>49</v>
      </c>
      <c r="B91" t="s">
        <v>23</v>
      </c>
      <c r="C91" t="s">
        <v>38</v>
      </c>
      <c r="D91" t="s">
        <v>106</v>
      </c>
      <c r="E91" t="s">
        <v>371</v>
      </c>
      <c r="F91" t="s">
        <v>27</v>
      </c>
      <c r="G91" t="s">
        <v>225</v>
      </c>
    </row>
    <row r="92" spans="1:7">
      <c r="A92" t="s">
        <v>49</v>
      </c>
      <c r="B92" t="s">
        <v>23</v>
      </c>
      <c r="C92" t="s">
        <v>38</v>
      </c>
      <c r="D92" t="s">
        <v>373</v>
      </c>
      <c r="E92" t="s">
        <v>371</v>
      </c>
      <c r="F92" t="s">
        <v>27</v>
      </c>
      <c r="G92" t="s">
        <v>275</v>
      </c>
    </row>
    <row r="93" spans="1:7">
      <c r="A93" t="s">
        <v>49</v>
      </c>
      <c r="B93" t="s">
        <v>23</v>
      </c>
      <c r="C93" t="s">
        <v>38</v>
      </c>
      <c r="D93" t="s">
        <v>101</v>
      </c>
      <c r="E93" t="s">
        <v>371</v>
      </c>
      <c r="F93" t="s">
        <v>27</v>
      </c>
      <c r="G93" t="s">
        <v>219</v>
      </c>
    </row>
    <row r="94" spans="1:7">
      <c r="A94" t="s">
        <v>25</v>
      </c>
      <c r="B94" t="s">
        <v>23</v>
      </c>
      <c r="C94" t="s">
        <v>38</v>
      </c>
      <c r="D94" t="s">
        <v>142</v>
      </c>
      <c r="E94" t="s">
        <v>371</v>
      </c>
      <c r="F94" t="s">
        <v>27</v>
      </c>
      <c r="G94" t="s">
        <v>216</v>
      </c>
    </row>
    <row r="95" spans="1:7">
      <c r="A95" t="s">
        <v>25</v>
      </c>
      <c r="B95" t="s">
        <v>23</v>
      </c>
      <c r="C95" t="s">
        <v>38</v>
      </c>
      <c r="D95" t="s">
        <v>374</v>
      </c>
      <c r="E95" t="s">
        <v>371</v>
      </c>
      <c r="F95" t="s">
        <v>27</v>
      </c>
      <c r="G95" t="s">
        <v>406</v>
      </c>
    </row>
    <row r="96" spans="1:7">
      <c r="A96" t="s">
        <v>4</v>
      </c>
      <c r="B96" t="s">
        <v>23</v>
      </c>
      <c r="C96" t="s">
        <v>38</v>
      </c>
      <c r="D96" t="s">
        <v>220</v>
      </c>
      <c r="E96" t="s">
        <v>371</v>
      </c>
      <c r="F96" t="s">
        <v>27</v>
      </c>
      <c r="G96" t="s">
        <v>221</v>
      </c>
    </row>
    <row r="97" spans="1:7">
      <c r="A97" t="s">
        <v>4</v>
      </c>
      <c r="B97" t="s">
        <v>23</v>
      </c>
      <c r="C97" t="s">
        <v>38</v>
      </c>
      <c r="D97" t="s">
        <v>217</v>
      </c>
      <c r="E97" t="s">
        <v>371</v>
      </c>
      <c r="F97" t="s">
        <v>27</v>
      </c>
      <c r="G97" t="s">
        <v>218</v>
      </c>
    </row>
    <row r="98" spans="1:7">
      <c r="A98" t="s">
        <v>37</v>
      </c>
      <c r="B98" t="s">
        <v>18</v>
      </c>
      <c r="C98" t="s">
        <v>27</v>
      </c>
      <c r="D98" t="s">
        <v>107</v>
      </c>
      <c r="E98" t="s">
        <v>52</v>
      </c>
      <c r="F98" t="s">
        <v>38</v>
      </c>
      <c r="G98" t="s">
        <v>172</v>
      </c>
    </row>
    <row r="99" spans="1:7">
      <c r="A99" t="s">
        <v>42</v>
      </c>
      <c r="B99" t="s">
        <v>18</v>
      </c>
      <c r="C99" t="s">
        <v>27</v>
      </c>
      <c r="D99" t="s">
        <v>124</v>
      </c>
      <c r="E99" t="s">
        <v>248</v>
      </c>
      <c r="F99" t="s">
        <v>38</v>
      </c>
      <c r="G99" t="s">
        <v>169</v>
      </c>
    </row>
    <row r="100" spans="1:7">
      <c r="A100" t="s">
        <v>42</v>
      </c>
      <c r="B100" t="s">
        <v>18</v>
      </c>
      <c r="C100" t="s">
        <v>27</v>
      </c>
      <c r="D100" t="s">
        <v>100</v>
      </c>
      <c r="E100" t="s">
        <v>314</v>
      </c>
      <c r="F100" t="s">
        <v>38</v>
      </c>
      <c r="G100" t="s">
        <v>407</v>
      </c>
    </row>
    <row r="101" spans="1:7">
      <c r="A101" t="s">
        <v>42</v>
      </c>
      <c r="B101" t="s">
        <v>18</v>
      </c>
      <c r="C101" t="s">
        <v>27</v>
      </c>
      <c r="D101" t="s">
        <v>55</v>
      </c>
      <c r="E101" t="s">
        <v>54</v>
      </c>
      <c r="F101" t="s">
        <v>38</v>
      </c>
      <c r="G101" t="s">
        <v>246</v>
      </c>
    </row>
    <row r="102" spans="1:7">
      <c r="A102" t="s">
        <v>42</v>
      </c>
      <c r="B102" s="6" t="s">
        <v>18</v>
      </c>
      <c r="C102" s="6" t="s">
        <v>27</v>
      </c>
      <c r="D102" s="6" t="s">
        <v>318</v>
      </c>
      <c r="E102" s="6" t="s">
        <v>177</v>
      </c>
      <c r="F102" s="6" t="s">
        <v>38</v>
      </c>
      <c r="G102" t="s">
        <v>408</v>
      </c>
    </row>
    <row r="103" spans="1:7">
      <c r="A103" t="s">
        <v>37</v>
      </c>
      <c r="B103" t="s">
        <v>18</v>
      </c>
      <c r="C103" t="s">
        <v>27</v>
      </c>
      <c r="D103" t="s">
        <v>107</v>
      </c>
      <c r="E103" t="s">
        <v>52</v>
      </c>
      <c r="F103" t="s">
        <v>38</v>
      </c>
      <c r="G103" t="s">
        <v>172</v>
      </c>
    </row>
    <row r="104" spans="1:7">
      <c r="A104" t="s">
        <v>37</v>
      </c>
      <c r="B104" t="s">
        <v>18</v>
      </c>
      <c r="C104" t="s">
        <v>27</v>
      </c>
      <c r="D104" t="s">
        <v>124</v>
      </c>
      <c r="E104" t="s">
        <v>248</v>
      </c>
      <c r="F104" t="s">
        <v>38</v>
      </c>
      <c r="G104" t="s">
        <v>169</v>
      </c>
    </row>
    <row r="105" spans="1:7">
      <c r="A105" t="s">
        <v>37</v>
      </c>
      <c r="B105" t="s">
        <v>18</v>
      </c>
      <c r="C105" t="s">
        <v>27</v>
      </c>
      <c r="D105" t="s">
        <v>57</v>
      </c>
      <c r="E105" t="s">
        <v>98</v>
      </c>
      <c r="F105" t="s">
        <v>38</v>
      </c>
      <c r="G105" t="s">
        <v>171</v>
      </c>
    </row>
    <row r="106" spans="1:7">
      <c r="A106" t="s">
        <v>37</v>
      </c>
      <c r="B106" t="s">
        <v>18</v>
      </c>
      <c r="C106" t="s">
        <v>27</v>
      </c>
      <c r="D106" t="s">
        <v>91</v>
      </c>
      <c r="E106" t="s">
        <v>115</v>
      </c>
      <c r="F106" t="s">
        <v>38</v>
      </c>
      <c r="G106" t="s">
        <v>247</v>
      </c>
    </row>
    <row r="107" spans="1:7">
      <c r="A107" t="s">
        <v>37</v>
      </c>
      <c r="B107" t="s">
        <v>18</v>
      </c>
      <c r="C107" t="s">
        <v>27</v>
      </c>
      <c r="D107" t="s">
        <v>320</v>
      </c>
      <c r="E107" t="s">
        <v>319</v>
      </c>
      <c r="F107" t="s">
        <v>38</v>
      </c>
      <c r="G107" t="s">
        <v>409</v>
      </c>
    </row>
    <row r="108" spans="1:7">
      <c r="A108" t="s">
        <v>43</v>
      </c>
      <c r="B108" t="s">
        <v>18</v>
      </c>
      <c r="C108" t="s">
        <v>27</v>
      </c>
      <c r="D108" t="s">
        <v>59</v>
      </c>
      <c r="E108" t="s">
        <v>68</v>
      </c>
      <c r="F108" t="s">
        <v>38</v>
      </c>
      <c r="G108" t="s">
        <v>238</v>
      </c>
    </row>
    <row r="109" spans="1:7">
      <c r="A109" t="s">
        <v>43</v>
      </c>
      <c r="B109" t="s">
        <v>18</v>
      </c>
      <c r="C109" t="s">
        <v>27</v>
      </c>
      <c r="D109" t="s">
        <v>321</v>
      </c>
      <c r="E109" t="s">
        <v>307</v>
      </c>
      <c r="F109" t="s">
        <v>38</v>
      </c>
      <c r="G109" t="s">
        <v>410</v>
      </c>
    </row>
    <row r="110" spans="1:7">
      <c r="A110" t="s">
        <v>25</v>
      </c>
      <c r="B110" t="s">
        <v>18</v>
      </c>
      <c r="C110" t="s">
        <v>27</v>
      </c>
      <c r="D110" t="s">
        <v>56</v>
      </c>
      <c r="E110" t="s">
        <v>112</v>
      </c>
      <c r="F110" t="s">
        <v>38</v>
      </c>
      <c r="G110" t="s">
        <v>40</v>
      </c>
    </row>
    <row r="111" spans="1:7">
      <c r="A111" t="s">
        <v>25</v>
      </c>
      <c r="B111" t="s">
        <v>18</v>
      </c>
      <c r="C111" t="s">
        <v>27</v>
      </c>
      <c r="D111" t="s">
        <v>58</v>
      </c>
      <c r="E111" t="s">
        <v>95</v>
      </c>
      <c r="F111" t="s">
        <v>38</v>
      </c>
      <c r="G111" t="s">
        <v>41</v>
      </c>
    </row>
    <row r="112" spans="1:7">
      <c r="A112" t="s">
        <v>42</v>
      </c>
      <c r="B112" t="s">
        <v>19</v>
      </c>
      <c r="C112" t="s">
        <v>27</v>
      </c>
      <c r="D112" t="s">
        <v>104</v>
      </c>
      <c r="E112" t="s">
        <v>250</v>
      </c>
      <c r="F112" t="s">
        <v>38</v>
      </c>
      <c r="G112" t="s">
        <v>411</v>
      </c>
    </row>
    <row r="113" spans="1:7">
      <c r="A113" t="s">
        <v>42</v>
      </c>
      <c r="B113" t="s">
        <v>19</v>
      </c>
      <c r="C113" t="s">
        <v>27</v>
      </c>
      <c r="D113" t="s">
        <v>76</v>
      </c>
      <c r="E113" t="s">
        <v>75</v>
      </c>
      <c r="F113" t="s">
        <v>38</v>
      </c>
      <c r="G113" t="s">
        <v>185</v>
      </c>
    </row>
    <row r="114" spans="1:7">
      <c r="A114" t="s">
        <v>42</v>
      </c>
      <c r="B114" t="s">
        <v>19</v>
      </c>
      <c r="C114" t="s">
        <v>27</v>
      </c>
      <c r="D114" t="s">
        <v>104</v>
      </c>
      <c r="E114" t="s">
        <v>250</v>
      </c>
      <c r="F114" t="s">
        <v>38</v>
      </c>
      <c r="G114" t="s">
        <v>411</v>
      </c>
    </row>
    <row r="115" spans="1:7">
      <c r="A115" t="s">
        <v>42</v>
      </c>
      <c r="B115" t="s">
        <v>19</v>
      </c>
      <c r="C115" t="s">
        <v>27</v>
      </c>
      <c r="D115" t="s">
        <v>323</v>
      </c>
      <c r="E115" t="s">
        <v>322</v>
      </c>
      <c r="F115" t="s">
        <v>38</v>
      </c>
      <c r="G115" t="s">
        <v>412</v>
      </c>
    </row>
    <row r="116" spans="1:7">
      <c r="A116" t="s">
        <v>42</v>
      </c>
      <c r="B116" t="s">
        <v>19</v>
      </c>
      <c r="C116" t="s">
        <v>27</v>
      </c>
      <c r="D116" t="s">
        <v>325</v>
      </c>
      <c r="E116" t="s">
        <v>324</v>
      </c>
      <c r="F116" t="s">
        <v>38</v>
      </c>
      <c r="G116" t="s">
        <v>413</v>
      </c>
    </row>
    <row r="117" spans="1:7">
      <c r="A117" t="s">
        <v>42</v>
      </c>
      <c r="B117" t="s">
        <v>19</v>
      </c>
      <c r="C117" t="s">
        <v>27</v>
      </c>
      <c r="D117" t="s">
        <v>327</v>
      </c>
      <c r="E117" t="s">
        <v>326</v>
      </c>
      <c r="F117" t="s">
        <v>38</v>
      </c>
      <c r="G117" t="s">
        <v>414</v>
      </c>
    </row>
    <row r="118" spans="1:7">
      <c r="A118" t="s">
        <v>42</v>
      </c>
      <c r="B118" t="s">
        <v>19</v>
      </c>
      <c r="C118" t="s">
        <v>27</v>
      </c>
      <c r="D118" t="s">
        <v>329</v>
      </c>
      <c r="E118" t="s">
        <v>328</v>
      </c>
      <c r="F118" t="s">
        <v>38</v>
      </c>
      <c r="G118" t="s">
        <v>415</v>
      </c>
    </row>
    <row r="119" spans="1:7">
      <c r="A119" t="s">
        <v>42</v>
      </c>
      <c r="B119" t="s">
        <v>19</v>
      </c>
      <c r="C119" t="s">
        <v>27</v>
      </c>
      <c r="D119" t="s">
        <v>77</v>
      </c>
      <c r="E119" t="s">
        <v>186</v>
      </c>
      <c r="F119" t="s">
        <v>38</v>
      </c>
      <c r="G119" t="s">
        <v>184</v>
      </c>
    </row>
    <row r="120" spans="1:7">
      <c r="A120" t="s">
        <v>42</v>
      </c>
      <c r="B120" t="s">
        <v>19</v>
      </c>
      <c r="C120" t="s">
        <v>27</v>
      </c>
      <c r="D120" t="s">
        <v>97</v>
      </c>
      <c r="E120" t="s">
        <v>254</v>
      </c>
      <c r="F120" t="s">
        <v>38</v>
      </c>
      <c r="G120" t="s">
        <v>180</v>
      </c>
    </row>
    <row r="121" spans="1:7">
      <c r="A121" t="s">
        <v>42</v>
      </c>
      <c r="B121" t="s">
        <v>19</v>
      </c>
      <c r="C121" t="s">
        <v>27</v>
      </c>
      <c r="D121" t="s">
        <v>331</v>
      </c>
      <c r="E121" t="s">
        <v>330</v>
      </c>
      <c r="F121" t="s">
        <v>38</v>
      </c>
      <c r="G121" t="s">
        <v>416</v>
      </c>
    </row>
    <row r="122" spans="1:7">
      <c r="A122" t="s">
        <v>44</v>
      </c>
      <c r="B122" t="s">
        <v>19</v>
      </c>
      <c r="C122" t="s">
        <v>27</v>
      </c>
      <c r="D122" t="s">
        <v>332</v>
      </c>
      <c r="E122" t="s">
        <v>202</v>
      </c>
      <c r="F122" t="s">
        <v>38</v>
      </c>
      <c r="G122" t="s">
        <v>417</v>
      </c>
    </row>
    <row r="123" spans="1:7">
      <c r="A123" t="s">
        <v>44</v>
      </c>
      <c r="B123" t="s">
        <v>19</v>
      </c>
      <c r="C123" t="s">
        <v>27</v>
      </c>
      <c r="D123" t="s">
        <v>71</v>
      </c>
      <c r="E123" t="s">
        <v>80</v>
      </c>
      <c r="F123" t="s">
        <v>38</v>
      </c>
      <c r="G123" t="s">
        <v>209</v>
      </c>
    </row>
    <row r="124" spans="1:7">
      <c r="A124" t="s">
        <v>44</v>
      </c>
      <c r="B124" t="s">
        <v>19</v>
      </c>
      <c r="C124" t="s">
        <v>27</v>
      </c>
      <c r="D124" t="s">
        <v>260</v>
      </c>
      <c r="E124" t="s">
        <v>114</v>
      </c>
      <c r="F124" t="s">
        <v>38</v>
      </c>
      <c r="G124" t="s">
        <v>261</v>
      </c>
    </row>
    <row r="125" spans="1:7">
      <c r="A125" t="s">
        <v>44</v>
      </c>
      <c r="B125" t="s">
        <v>19</v>
      </c>
      <c r="C125" t="s">
        <v>27</v>
      </c>
      <c r="D125" t="s">
        <v>334</v>
      </c>
      <c r="E125" t="s">
        <v>333</v>
      </c>
      <c r="F125" t="s">
        <v>38</v>
      </c>
      <c r="G125" t="s">
        <v>418</v>
      </c>
    </row>
    <row r="126" spans="1:7">
      <c r="A126" t="s">
        <v>44</v>
      </c>
      <c r="B126" t="s">
        <v>19</v>
      </c>
      <c r="C126" t="s">
        <v>27</v>
      </c>
      <c r="D126" t="s">
        <v>335</v>
      </c>
      <c r="E126" t="s">
        <v>204</v>
      </c>
      <c r="F126" t="s">
        <v>38</v>
      </c>
      <c r="G126" t="s">
        <v>419</v>
      </c>
    </row>
    <row r="127" spans="1:7">
      <c r="A127" t="s">
        <v>44</v>
      </c>
      <c r="B127" t="s">
        <v>19</v>
      </c>
      <c r="C127" t="s">
        <v>27</v>
      </c>
      <c r="D127" t="s">
        <v>74</v>
      </c>
      <c r="E127" t="s">
        <v>144</v>
      </c>
      <c r="F127" t="s">
        <v>38</v>
      </c>
      <c r="G127" t="s">
        <v>420</v>
      </c>
    </row>
    <row r="128" spans="1:7">
      <c r="A128" t="s">
        <v>44</v>
      </c>
      <c r="B128" t="s">
        <v>19</v>
      </c>
      <c r="C128" t="s">
        <v>27</v>
      </c>
      <c r="D128" t="s">
        <v>96</v>
      </c>
      <c r="E128" t="s">
        <v>53</v>
      </c>
      <c r="F128" t="s">
        <v>38</v>
      </c>
      <c r="G128" t="s">
        <v>207</v>
      </c>
    </row>
    <row r="129" spans="1:7">
      <c r="A129" t="s">
        <v>43</v>
      </c>
      <c r="B129" t="s">
        <v>19</v>
      </c>
      <c r="C129" t="s">
        <v>27</v>
      </c>
      <c r="D129" t="s">
        <v>60</v>
      </c>
      <c r="E129" t="s">
        <v>79</v>
      </c>
      <c r="F129" t="s">
        <v>38</v>
      </c>
      <c r="G129" t="s">
        <v>239</v>
      </c>
    </row>
    <row r="130" spans="1:7">
      <c r="A130" t="s">
        <v>43</v>
      </c>
      <c r="B130" t="s">
        <v>19</v>
      </c>
      <c r="C130" t="s">
        <v>27</v>
      </c>
      <c r="D130" t="s">
        <v>280</v>
      </c>
      <c r="E130" t="s">
        <v>122</v>
      </c>
      <c r="F130" t="s">
        <v>38</v>
      </c>
      <c r="G130" t="s">
        <v>285</v>
      </c>
    </row>
    <row r="131" spans="1:7">
      <c r="A131" t="s">
        <v>42</v>
      </c>
      <c r="B131" t="s">
        <v>20</v>
      </c>
      <c r="C131" t="s">
        <v>27</v>
      </c>
      <c r="D131" t="s">
        <v>89</v>
      </c>
      <c r="E131" t="s">
        <v>336</v>
      </c>
      <c r="F131" t="s">
        <v>38</v>
      </c>
      <c r="G131" t="s">
        <v>192</v>
      </c>
    </row>
    <row r="132" spans="1:7">
      <c r="A132" t="s">
        <v>42</v>
      </c>
      <c r="B132" t="s">
        <v>20</v>
      </c>
      <c r="C132" t="s">
        <v>27</v>
      </c>
      <c r="D132" t="s">
        <v>337</v>
      </c>
      <c r="E132" t="s">
        <v>256</v>
      </c>
      <c r="F132" t="s">
        <v>38</v>
      </c>
      <c r="G132" t="s">
        <v>421</v>
      </c>
    </row>
    <row r="133" spans="1:7">
      <c r="A133" t="s">
        <v>42</v>
      </c>
      <c r="B133" t="s">
        <v>20</v>
      </c>
      <c r="C133" t="s">
        <v>27</v>
      </c>
      <c r="D133" t="s">
        <v>258</v>
      </c>
      <c r="E133" t="s">
        <v>338</v>
      </c>
      <c r="F133" t="s">
        <v>38</v>
      </c>
      <c r="G133" t="s">
        <v>259</v>
      </c>
    </row>
    <row r="134" spans="1:7">
      <c r="A134" t="s">
        <v>42</v>
      </c>
      <c r="B134" t="s">
        <v>20</v>
      </c>
      <c r="C134" t="s">
        <v>27</v>
      </c>
      <c r="D134" t="s">
        <v>339</v>
      </c>
      <c r="E134" t="s">
        <v>126</v>
      </c>
      <c r="F134" t="s">
        <v>38</v>
      </c>
      <c r="G134" t="s">
        <v>422</v>
      </c>
    </row>
    <row r="135" spans="1:7">
      <c r="A135" t="s">
        <v>42</v>
      </c>
      <c r="B135" t="s">
        <v>20</v>
      </c>
      <c r="C135" t="s">
        <v>27</v>
      </c>
      <c r="D135" t="s">
        <v>341</v>
      </c>
      <c r="E135" t="s">
        <v>340</v>
      </c>
      <c r="F135" t="s">
        <v>38</v>
      </c>
      <c r="G135" t="s">
        <v>423</v>
      </c>
    </row>
    <row r="136" spans="1:7">
      <c r="A136" t="s">
        <v>44</v>
      </c>
      <c r="B136" t="s">
        <v>20</v>
      </c>
      <c r="C136" t="s">
        <v>27</v>
      </c>
      <c r="D136" t="s">
        <v>281</v>
      </c>
      <c r="E136" t="s">
        <v>342</v>
      </c>
      <c r="F136" t="s">
        <v>38</v>
      </c>
      <c r="G136" t="s">
        <v>213</v>
      </c>
    </row>
    <row r="137" spans="1:7">
      <c r="A137" t="s">
        <v>44</v>
      </c>
      <c r="B137" t="s">
        <v>20</v>
      </c>
      <c r="C137" t="s">
        <v>27</v>
      </c>
      <c r="D137" t="s">
        <v>344</v>
      </c>
      <c r="E137" t="s">
        <v>343</v>
      </c>
      <c r="F137" t="s">
        <v>38</v>
      </c>
      <c r="G137" t="s">
        <v>424</v>
      </c>
    </row>
    <row r="138" spans="1:7">
      <c r="A138" t="s">
        <v>44</v>
      </c>
      <c r="B138" t="s">
        <v>20</v>
      </c>
      <c r="C138" t="s">
        <v>27</v>
      </c>
      <c r="D138" t="s">
        <v>345</v>
      </c>
      <c r="E138" t="s">
        <v>90</v>
      </c>
      <c r="F138" t="s">
        <v>38</v>
      </c>
      <c r="G138" t="s">
        <v>425</v>
      </c>
    </row>
    <row r="139" spans="1:7">
      <c r="A139" t="s">
        <v>44</v>
      </c>
      <c r="B139" t="s">
        <v>20</v>
      </c>
      <c r="C139" t="s">
        <v>27</v>
      </c>
      <c r="D139" t="s">
        <v>346</v>
      </c>
      <c r="E139" t="s">
        <v>306</v>
      </c>
      <c r="F139" t="s">
        <v>38</v>
      </c>
      <c r="G139" t="s">
        <v>426</v>
      </c>
    </row>
    <row r="140" spans="1:7">
      <c r="A140" t="s">
        <v>44</v>
      </c>
      <c r="B140" t="s">
        <v>20</v>
      </c>
      <c r="C140" t="s">
        <v>27</v>
      </c>
      <c r="D140" t="s">
        <v>348</v>
      </c>
      <c r="E140" t="s">
        <v>347</v>
      </c>
      <c r="F140" t="s">
        <v>38</v>
      </c>
      <c r="G140" t="s">
        <v>427</v>
      </c>
    </row>
    <row r="141" spans="1:7">
      <c r="A141" t="s">
        <v>42</v>
      </c>
      <c r="B141" t="s">
        <v>20</v>
      </c>
      <c r="C141" t="s">
        <v>27</v>
      </c>
      <c r="D141" t="s">
        <v>350</v>
      </c>
      <c r="E141" t="s">
        <v>349</v>
      </c>
      <c r="F141" t="s">
        <v>38</v>
      </c>
      <c r="G141" t="s">
        <v>428</v>
      </c>
    </row>
    <row r="142" spans="1:7">
      <c r="A142" t="s">
        <v>42</v>
      </c>
      <c r="B142" t="s">
        <v>20</v>
      </c>
      <c r="C142" t="s">
        <v>27</v>
      </c>
      <c r="D142" t="s">
        <v>352</v>
      </c>
      <c r="E142" t="s">
        <v>351</v>
      </c>
      <c r="F142" t="s">
        <v>38</v>
      </c>
      <c r="G142" t="s">
        <v>429</v>
      </c>
    </row>
    <row r="143" spans="1:7">
      <c r="A143" t="s">
        <v>26</v>
      </c>
      <c r="B143" t="s">
        <v>20</v>
      </c>
      <c r="C143" t="s">
        <v>27</v>
      </c>
      <c r="D143" t="s">
        <v>127</v>
      </c>
      <c r="E143" t="s">
        <v>102</v>
      </c>
      <c r="F143" t="s">
        <v>38</v>
      </c>
      <c r="G143" t="s">
        <v>296</v>
      </c>
    </row>
    <row r="144" spans="1:7">
      <c r="A144" t="s">
        <v>26</v>
      </c>
      <c r="B144" t="s">
        <v>20</v>
      </c>
      <c r="C144" t="s">
        <v>27</v>
      </c>
      <c r="D144" t="s">
        <v>232</v>
      </c>
      <c r="E144" t="s">
        <v>94</v>
      </c>
      <c r="F144" t="s">
        <v>38</v>
      </c>
      <c r="G144" t="s">
        <v>233</v>
      </c>
    </row>
    <row r="145" spans="1:7">
      <c r="A145" t="s">
        <v>26</v>
      </c>
      <c r="B145" t="s">
        <v>20</v>
      </c>
      <c r="C145" t="s">
        <v>27</v>
      </c>
      <c r="D145" t="s">
        <v>123</v>
      </c>
      <c r="E145" t="s">
        <v>146</v>
      </c>
      <c r="F145" t="s">
        <v>38</v>
      </c>
      <c r="G145" t="s">
        <v>262</v>
      </c>
    </row>
    <row r="146" spans="1:7">
      <c r="A146" t="s">
        <v>26</v>
      </c>
      <c r="B146" t="s">
        <v>20</v>
      </c>
      <c r="C146" t="s">
        <v>27</v>
      </c>
      <c r="D146" t="s">
        <v>69</v>
      </c>
      <c r="E146" t="s">
        <v>105</v>
      </c>
      <c r="F146" t="s">
        <v>38</v>
      </c>
      <c r="G146" t="s">
        <v>45</v>
      </c>
    </row>
    <row r="147" spans="1:7">
      <c r="A147" t="s">
        <v>26</v>
      </c>
      <c r="B147" t="s">
        <v>20</v>
      </c>
      <c r="C147" t="s">
        <v>27</v>
      </c>
      <c r="D147" t="s">
        <v>119</v>
      </c>
      <c r="E147" t="s">
        <v>81</v>
      </c>
      <c r="F147" t="s">
        <v>38</v>
      </c>
      <c r="G147" t="s">
        <v>236</v>
      </c>
    </row>
    <row r="148" spans="1:7">
      <c r="A148" t="s">
        <v>26</v>
      </c>
      <c r="B148" t="s">
        <v>20</v>
      </c>
      <c r="C148" t="s">
        <v>27</v>
      </c>
      <c r="D148" t="s">
        <v>234</v>
      </c>
      <c r="E148" t="s">
        <v>164</v>
      </c>
      <c r="F148" t="s">
        <v>38</v>
      </c>
      <c r="G148" t="s">
        <v>235</v>
      </c>
    </row>
    <row r="149" spans="1:7">
      <c r="A149" t="s">
        <v>26</v>
      </c>
      <c r="B149" t="s">
        <v>20</v>
      </c>
      <c r="C149" t="s">
        <v>27</v>
      </c>
      <c r="D149" t="s">
        <v>92</v>
      </c>
      <c r="E149" t="s">
        <v>229</v>
      </c>
      <c r="F149" t="s">
        <v>38</v>
      </c>
      <c r="G149" t="s">
        <v>28</v>
      </c>
    </row>
    <row r="150" spans="1:7">
      <c r="A150" t="s">
        <v>26</v>
      </c>
      <c r="B150" t="s">
        <v>20</v>
      </c>
      <c r="C150" t="s">
        <v>27</v>
      </c>
      <c r="D150" t="s">
        <v>72</v>
      </c>
      <c r="E150" t="s">
        <v>143</v>
      </c>
      <c r="F150" t="s">
        <v>38</v>
      </c>
      <c r="G150" t="s">
        <v>298</v>
      </c>
    </row>
    <row r="151" spans="1:7">
      <c r="A151" t="s">
        <v>26</v>
      </c>
      <c r="B151" t="s">
        <v>20</v>
      </c>
      <c r="C151" t="s">
        <v>27</v>
      </c>
      <c r="D151" t="s">
        <v>303</v>
      </c>
      <c r="E151" t="s">
        <v>302</v>
      </c>
      <c r="F151" t="s">
        <v>38</v>
      </c>
      <c r="G151" t="s">
        <v>430</v>
      </c>
    </row>
    <row r="152" spans="1:7">
      <c r="A152" t="s">
        <v>26</v>
      </c>
      <c r="B152" t="s">
        <v>20</v>
      </c>
      <c r="C152" t="s">
        <v>27</v>
      </c>
      <c r="D152" t="s">
        <v>305</v>
      </c>
      <c r="E152" t="s">
        <v>125</v>
      </c>
      <c r="F152" t="s">
        <v>38</v>
      </c>
      <c r="G152" t="s">
        <v>431</v>
      </c>
    </row>
    <row r="153" spans="1:7">
      <c r="A153" t="s">
        <v>26</v>
      </c>
      <c r="B153" t="s">
        <v>20</v>
      </c>
      <c r="C153" t="s">
        <v>27</v>
      </c>
      <c r="D153" t="s">
        <v>73</v>
      </c>
      <c r="E153" t="s">
        <v>304</v>
      </c>
      <c r="F153" t="s">
        <v>38</v>
      </c>
      <c r="G153" t="s">
        <v>432</v>
      </c>
    </row>
    <row r="154" spans="1:7">
      <c r="A154" t="s">
        <v>353</v>
      </c>
      <c r="B154" t="s">
        <v>20</v>
      </c>
      <c r="C154" t="s">
        <v>27</v>
      </c>
      <c r="D154" t="s">
        <v>354</v>
      </c>
      <c r="E154" t="s">
        <v>197</v>
      </c>
      <c r="F154" t="s">
        <v>38</v>
      </c>
      <c r="G154" t="s">
        <v>433</v>
      </c>
    </row>
    <row r="155" spans="1:7">
      <c r="A155" t="s">
        <v>353</v>
      </c>
      <c r="B155" t="s">
        <v>20</v>
      </c>
      <c r="C155" t="s">
        <v>27</v>
      </c>
      <c r="D155" t="s">
        <v>355</v>
      </c>
      <c r="E155" t="s">
        <v>82</v>
      </c>
      <c r="F155" t="s">
        <v>38</v>
      </c>
      <c r="G155" t="s">
        <v>434</v>
      </c>
    </row>
    <row r="156" spans="1:7">
      <c r="A156" t="s">
        <v>353</v>
      </c>
      <c r="B156" t="s">
        <v>20</v>
      </c>
      <c r="C156" t="s">
        <v>27</v>
      </c>
      <c r="D156" t="s">
        <v>188</v>
      </c>
      <c r="E156" t="s">
        <v>190</v>
      </c>
      <c r="F156" t="s">
        <v>38</v>
      </c>
      <c r="G156" t="s">
        <v>189</v>
      </c>
    </row>
    <row r="157" spans="1:7">
      <c r="A157" t="s">
        <v>353</v>
      </c>
      <c r="B157" t="s">
        <v>20</v>
      </c>
      <c r="C157" t="s">
        <v>27</v>
      </c>
      <c r="D157" t="s">
        <v>199</v>
      </c>
      <c r="E157" t="s">
        <v>356</v>
      </c>
      <c r="F157" t="s">
        <v>38</v>
      </c>
      <c r="G157" t="s">
        <v>200</v>
      </c>
    </row>
    <row r="158" spans="1:7">
      <c r="A158" t="s">
        <v>353</v>
      </c>
      <c r="B158" t="s">
        <v>20</v>
      </c>
      <c r="C158" t="s">
        <v>27</v>
      </c>
      <c r="D158" t="s">
        <v>193</v>
      </c>
      <c r="E158" t="s">
        <v>357</v>
      </c>
      <c r="F158" t="s">
        <v>38</v>
      </c>
      <c r="G158" t="s">
        <v>194</v>
      </c>
    </row>
    <row r="159" spans="1:7">
      <c r="A159" t="s">
        <v>353</v>
      </c>
      <c r="B159" t="s">
        <v>20</v>
      </c>
      <c r="C159" t="s">
        <v>27</v>
      </c>
      <c r="D159" t="s">
        <v>359</v>
      </c>
      <c r="E159" t="s">
        <v>358</v>
      </c>
      <c r="F159" t="s">
        <v>38</v>
      </c>
      <c r="G159" t="s">
        <v>435</v>
      </c>
    </row>
    <row r="160" spans="1:7">
      <c r="A160" t="s">
        <v>47</v>
      </c>
      <c r="B160" t="s">
        <v>20</v>
      </c>
      <c r="C160" t="s">
        <v>27</v>
      </c>
      <c r="D160" t="s">
        <v>70</v>
      </c>
      <c r="E160" t="s">
        <v>245</v>
      </c>
      <c r="F160" t="s">
        <v>38</v>
      </c>
      <c r="G160" t="s">
        <v>46</v>
      </c>
    </row>
    <row r="161" spans="1:7">
      <c r="A161" t="s">
        <v>360</v>
      </c>
      <c r="B161" t="s">
        <v>20</v>
      </c>
      <c r="C161" t="s">
        <v>27</v>
      </c>
      <c r="D161" t="s">
        <v>362</v>
      </c>
      <c r="E161" t="s">
        <v>361</v>
      </c>
      <c r="F161" t="s">
        <v>38</v>
      </c>
      <c r="G161" t="s">
        <v>436</v>
      </c>
    </row>
    <row r="162" spans="1:7">
      <c r="A162" t="s">
        <v>270</v>
      </c>
      <c r="B162" t="s">
        <v>21</v>
      </c>
      <c r="C162" t="s">
        <v>27</v>
      </c>
      <c r="D162" t="s">
        <v>363</v>
      </c>
      <c r="E162" t="s">
        <v>116</v>
      </c>
      <c r="F162" t="s">
        <v>38</v>
      </c>
      <c r="G162" t="s">
        <v>437</v>
      </c>
    </row>
    <row r="163" spans="1:7">
      <c r="A163" t="s">
        <v>270</v>
      </c>
      <c r="B163" t="s">
        <v>21</v>
      </c>
      <c r="C163" t="s">
        <v>27</v>
      </c>
      <c r="D163" t="s">
        <v>121</v>
      </c>
      <c r="E163" t="s">
        <v>109</v>
      </c>
      <c r="F163" t="s">
        <v>38</v>
      </c>
      <c r="G163" t="s">
        <v>438</v>
      </c>
    </row>
    <row r="164" spans="1:7">
      <c r="A164" t="s">
        <v>270</v>
      </c>
      <c r="B164" t="s">
        <v>21</v>
      </c>
      <c r="C164" t="s">
        <v>27</v>
      </c>
      <c r="D164" t="s">
        <v>364</v>
      </c>
      <c r="E164" t="s">
        <v>147</v>
      </c>
      <c r="F164" t="s">
        <v>38</v>
      </c>
      <c r="G164" t="s">
        <v>439</v>
      </c>
    </row>
    <row r="165" spans="1:7">
      <c r="A165" t="s">
        <v>270</v>
      </c>
      <c r="B165" t="s">
        <v>21</v>
      </c>
      <c r="C165" t="s">
        <v>27</v>
      </c>
      <c r="D165" t="s">
        <v>366</v>
      </c>
      <c r="E165" t="s">
        <v>365</v>
      </c>
      <c r="F165" t="s">
        <v>38</v>
      </c>
      <c r="G165" t="s">
        <v>440</v>
      </c>
    </row>
    <row r="166" spans="1:7">
      <c r="A166" t="s">
        <v>270</v>
      </c>
      <c r="B166" t="s">
        <v>367</v>
      </c>
      <c r="C166" t="s">
        <v>27</v>
      </c>
      <c r="D166" t="s">
        <v>149</v>
      </c>
      <c r="E166" t="s">
        <v>148</v>
      </c>
      <c r="F166" t="s">
        <v>38</v>
      </c>
      <c r="G166" t="s">
        <v>271</v>
      </c>
    </row>
    <row r="167" spans="1:7">
      <c r="A167" t="s">
        <v>270</v>
      </c>
      <c r="B167" t="s">
        <v>367</v>
      </c>
      <c r="C167" t="s">
        <v>27</v>
      </c>
      <c r="D167" t="s">
        <v>113</v>
      </c>
      <c r="E167" t="s">
        <v>110</v>
      </c>
      <c r="F167" t="s">
        <v>38</v>
      </c>
      <c r="G167" t="s">
        <v>294</v>
      </c>
    </row>
    <row r="168" spans="1:7">
      <c r="A168" t="s">
        <v>37</v>
      </c>
      <c r="B168" t="s">
        <v>367</v>
      </c>
      <c r="C168" t="s">
        <v>27</v>
      </c>
      <c r="D168" t="s">
        <v>368</v>
      </c>
      <c r="E168" t="s">
        <v>284</v>
      </c>
      <c r="F168" t="s">
        <v>38</v>
      </c>
      <c r="G168" t="s">
        <v>441</v>
      </c>
    </row>
    <row r="169" spans="1:7">
      <c r="A169" t="s">
        <v>37</v>
      </c>
      <c r="B169" t="s">
        <v>367</v>
      </c>
      <c r="C169" t="s">
        <v>27</v>
      </c>
      <c r="D169" t="s">
        <v>99</v>
      </c>
      <c r="E169" t="s">
        <v>118</v>
      </c>
      <c r="F169" t="s">
        <v>38</v>
      </c>
      <c r="G169" t="s">
        <v>268</v>
      </c>
    </row>
    <row r="170" spans="1:7">
      <c r="A170" t="s">
        <v>37</v>
      </c>
      <c r="B170" t="s">
        <v>367</v>
      </c>
      <c r="C170" t="s">
        <v>27</v>
      </c>
      <c r="D170" t="s">
        <v>108</v>
      </c>
      <c r="E170" t="s">
        <v>66</v>
      </c>
      <c r="F170" t="s">
        <v>38</v>
      </c>
      <c r="G170" t="s">
        <v>174</v>
      </c>
    </row>
    <row r="171" spans="1:7">
      <c r="A171" t="s">
        <v>270</v>
      </c>
      <c r="B171" t="s">
        <v>367</v>
      </c>
      <c r="C171" t="s">
        <v>27</v>
      </c>
      <c r="D171" t="s">
        <v>149</v>
      </c>
      <c r="E171" t="s">
        <v>148</v>
      </c>
      <c r="F171" t="s">
        <v>38</v>
      </c>
      <c r="G171" t="s">
        <v>271</v>
      </c>
    </row>
    <row r="172" spans="1:7">
      <c r="A172" t="s">
        <v>49</v>
      </c>
      <c r="B172" t="s">
        <v>367</v>
      </c>
      <c r="C172" t="s">
        <v>27</v>
      </c>
      <c r="D172" t="s">
        <v>113</v>
      </c>
      <c r="E172" t="s">
        <v>110</v>
      </c>
      <c r="F172" t="s">
        <v>38</v>
      </c>
      <c r="G172" t="s">
        <v>294</v>
      </c>
    </row>
    <row r="173" spans="1:7">
      <c r="A173" t="s">
        <v>43</v>
      </c>
      <c r="B173" t="s">
        <v>367</v>
      </c>
      <c r="C173" t="s">
        <v>27</v>
      </c>
      <c r="D173" t="s">
        <v>86</v>
      </c>
      <c r="E173" t="s">
        <v>88</v>
      </c>
      <c r="F173" t="s">
        <v>38</v>
      </c>
      <c r="G173" t="s">
        <v>244</v>
      </c>
    </row>
    <row r="174" spans="1:7">
      <c r="A174" t="s">
        <v>43</v>
      </c>
      <c r="B174" t="s">
        <v>367</v>
      </c>
      <c r="C174" t="s">
        <v>27</v>
      </c>
      <c r="D174" t="s">
        <v>62</v>
      </c>
      <c r="E174" t="s">
        <v>51</v>
      </c>
      <c r="F174" t="s">
        <v>38</v>
      </c>
      <c r="G174" t="s">
        <v>243</v>
      </c>
    </row>
    <row r="175" spans="1:7">
      <c r="A175" t="s">
        <v>25</v>
      </c>
      <c r="B175" t="s">
        <v>367</v>
      </c>
      <c r="C175" t="s">
        <v>27</v>
      </c>
      <c r="D175" t="s">
        <v>61</v>
      </c>
      <c r="E175" t="s">
        <v>64</v>
      </c>
      <c r="F175" t="s">
        <v>38</v>
      </c>
      <c r="G175" t="s">
        <v>30</v>
      </c>
    </row>
    <row r="176" spans="1:7">
      <c r="A176" t="s">
        <v>25</v>
      </c>
      <c r="B176" t="s">
        <v>367</v>
      </c>
      <c r="C176" t="s">
        <v>27</v>
      </c>
      <c r="D176" t="s">
        <v>141</v>
      </c>
      <c r="E176" t="s">
        <v>165</v>
      </c>
      <c r="F176" t="s">
        <v>38</v>
      </c>
      <c r="G176" t="s">
        <v>299</v>
      </c>
    </row>
    <row r="177" spans="1:7">
      <c r="A177" t="s">
        <v>25</v>
      </c>
      <c r="B177" t="s">
        <v>367</v>
      </c>
      <c r="C177" t="s">
        <v>27</v>
      </c>
      <c r="D177" t="s">
        <v>370</v>
      </c>
      <c r="E177" t="s">
        <v>369</v>
      </c>
      <c r="F177" t="s">
        <v>38</v>
      </c>
      <c r="G177" t="s">
        <v>442</v>
      </c>
    </row>
    <row r="178" spans="1:7">
      <c r="A178" t="s">
        <v>49</v>
      </c>
      <c r="B178" t="s">
        <v>23</v>
      </c>
      <c r="C178" t="s">
        <v>27</v>
      </c>
      <c r="D178" t="s">
        <v>283</v>
      </c>
      <c r="E178" t="s">
        <v>63</v>
      </c>
      <c r="F178" t="s">
        <v>38</v>
      </c>
      <c r="G178" t="s">
        <v>292</v>
      </c>
    </row>
    <row r="179" spans="1:7">
      <c r="A179" t="s">
        <v>49</v>
      </c>
      <c r="B179" t="s">
        <v>23</v>
      </c>
      <c r="C179" t="s">
        <v>27</v>
      </c>
      <c r="D179" t="s">
        <v>84</v>
      </c>
      <c r="E179" t="s">
        <v>87</v>
      </c>
      <c r="F179" t="s">
        <v>38</v>
      </c>
      <c r="G179" t="s">
        <v>273</v>
      </c>
    </row>
    <row r="180" spans="1:7">
      <c r="A180" t="s">
        <v>49</v>
      </c>
      <c r="B180" t="s">
        <v>23</v>
      </c>
      <c r="C180" t="s">
        <v>27</v>
      </c>
      <c r="D180" t="s">
        <v>166</v>
      </c>
      <c r="E180" t="s">
        <v>103</v>
      </c>
      <c r="F180" t="s">
        <v>38</v>
      </c>
      <c r="G180" t="s">
        <v>293</v>
      </c>
    </row>
    <row r="181" spans="1:7">
      <c r="A181" t="s">
        <v>49</v>
      </c>
      <c r="B181" t="s">
        <v>23</v>
      </c>
      <c r="C181" t="s">
        <v>27</v>
      </c>
      <c r="D181" t="s">
        <v>371</v>
      </c>
      <c r="E181" t="s">
        <v>65</v>
      </c>
      <c r="F181" t="s">
        <v>38</v>
      </c>
      <c r="G181" t="s">
        <v>371</v>
      </c>
    </row>
    <row r="182" spans="1:7">
      <c r="A182" t="s">
        <v>49</v>
      </c>
      <c r="B182" t="s">
        <v>23</v>
      </c>
      <c r="C182" t="s">
        <v>27</v>
      </c>
      <c r="D182" t="s">
        <v>371</v>
      </c>
      <c r="E182" t="s">
        <v>120</v>
      </c>
      <c r="F182" t="s">
        <v>38</v>
      </c>
      <c r="G182" t="s">
        <v>371</v>
      </c>
    </row>
    <row r="183" spans="1:7">
      <c r="A183" t="s">
        <v>49</v>
      </c>
      <c r="B183" t="s">
        <v>23</v>
      </c>
      <c r="C183" t="s">
        <v>27</v>
      </c>
      <c r="D183" t="s">
        <v>371</v>
      </c>
      <c r="E183" t="s">
        <v>222</v>
      </c>
      <c r="F183" t="s">
        <v>38</v>
      </c>
      <c r="G183" t="s">
        <v>371</v>
      </c>
    </row>
    <row r="184" spans="1:7">
      <c r="A184" t="s">
        <v>49</v>
      </c>
      <c r="B184" t="s">
        <v>23</v>
      </c>
      <c r="C184" t="s">
        <v>27</v>
      </c>
      <c r="D184" t="s">
        <v>371</v>
      </c>
      <c r="E184" t="s">
        <v>372</v>
      </c>
      <c r="F184" t="s">
        <v>38</v>
      </c>
      <c r="G184" t="s">
        <v>371</v>
      </c>
    </row>
    <row r="185" spans="1:7">
      <c r="A185" t="s">
        <v>49</v>
      </c>
      <c r="B185" t="s">
        <v>23</v>
      </c>
      <c r="C185" t="s">
        <v>27</v>
      </c>
      <c r="D185" t="s">
        <v>371</v>
      </c>
      <c r="E185" t="s">
        <v>87</v>
      </c>
      <c r="F185" t="s">
        <v>38</v>
      </c>
      <c r="G185" t="s">
        <v>371</v>
      </c>
    </row>
    <row r="186" spans="1:7">
      <c r="A186" t="s">
        <v>49</v>
      </c>
      <c r="B186" t="s">
        <v>23</v>
      </c>
      <c r="C186" t="s">
        <v>27</v>
      </c>
      <c r="D186" t="s">
        <v>371</v>
      </c>
      <c r="E186" t="s">
        <v>67</v>
      </c>
      <c r="F186" t="s">
        <v>38</v>
      </c>
      <c r="G186" t="s">
        <v>371</v>
      </c>
    </row>
    <row r="187" spans="1:7">
      <c r="A187" t="s">
        <v>49</v>
      </c>
      <c r="B187" t="s">
        <v>23</v>
      </c>
      <c r="C187" t="s">
        <v>27</v>
      </c>
      <c r="D187" t="s">
        <v>371</v>
      </c>
      <c r="E187" t="s">
        <v>120</v>
      </c>
      <c r="F187" t="s">
        <v>38</v>
      </c>
      <c r="G187" t="s">
        <v>371</v>
      </c>
    </row>
    <row r="188" spans="1:7">
      <c r="A188" t="s">
        <v>49</v>
      </c>
      <c r="B188" t="s">
        <v>23</v>
      </c>
      <c r="C188" t="s">
        <v>27</v>
      </c>
      <c r="D188" t="s">
        <v>371</v>
      </c>
      <c r="E188" t="s">
        <v>117</v>
      </c>
      <c r="F188" t="s">
        <v>38</v>
      </c>
      <c r="G188" t="s">
        <v>371</v>
      </c>
    </row>
    <row r="189" spans="1:7">
      <c r="A189" t="s">
        <v>49</v>
      </c>
      <c r="B189" t="s">
        <v>23</v>
      </c>
      <c r="C189" t="s">
        <v>27</v>
      </c>
      <c r="D189" t="s">
        <v>371</v>
      </c>
      <c r="E189" t="s">
        <v>106</v>
      </c>
      <c r="F189" t="s">
        <v>38</v>
      </c>
      <c r="G189" t="s">
        <v>371</v>
      </c>
    </row>
    <row r="190" spans="1:7">
      <c r="A190" t="s">
        <v>49</v>
      </c>
      <c r="B190" t="s">
        <v>23</v>
      </c>
      <c r="C190" t="s">
        <v>27</v>
      </c>
      <c r="D190" t="s">
        <v>371</v>
      </c>
      <c r="E190" t="s">
        <v>101</v>
      </c>
      <c r="F190" t="s">
        <v>38</v>
      </c>
      <c r="G190" t="s">
        <v>371</v>
      </c>
    </row>
    <row r="191" spans="1:7">
      <c r="A191" t="s">
        <v>25</v>
      </c>
      <c r="B191" t="s">
        <v>23</v>
      </c>
      <c r="C191" t="s">
        <v>27</v>
      </c>
      <c r="D191" t="s">
        <v>371</v>
      </c>
      <c r="E191" t="s">
        <v>142</v>
      </c>
      <c r="F191" t="s">
        <v>38</v>
      </c>
      <c r="G191" t="s">
        <v>371</v>
      </c>
    </row>
    <row r="192" spans="1:7">
      <c r="A192" t="s">
        <v>4</v>
      </c>
      <c r="B192" t="s">
        <v>23</v>
      </c>
      <c r="C192" t="s">
        <v>27</v>
      </c>
      <c r="D192" t="s">
        <v>371</v>
      </c>
      <c r="E192" t="s">
        <v>220</v>
      </c>
      <c r="F192" t="s">
        <v>38</v>
      </c>
      <c r="G192" t="s">
        <v>371</v>
      </c>
    </row>
    <row r="193" spans="1:7">
      <c r="A193" t="s">
        <v>4</v>
      </c>
      <c r="B193" t="s">
        <v>23</v>
      </c>
      <c r="C193" t="s">
        <v>27</v>
      </c>
      <c r="D193" t="s">
        <v>371</v>
      </c>
      <c r="E193" t="s">
        <v>217</v>
      </c>
      <c r="F193" t="s">
        <v>38</v>
      </c>
      <c r="G193" t="s">
        <v>371</v>
      </c>
    </row>
    <row r="194" spans="1:7">
      <c r="A194" t="s">
        <v>44</v>
      </c>
      <c r="B194" t="s">
        <v>20</v>
      </c>
      <c r="C194" t="s">
        <v>38</v>
      </c>
      <c r="D194" t="s">
        <v>279</v>
      </c>
      <c r="E194" t="s">
        <v>375</v>
      </c>
      <c r="F194" t="s">
        <v>27</v>
      </c>
      <c r="G194" t="s">
        <v>443</v>
      </c>
    </row>
    <row r="195" spans="1:7">
      <c r="A195" t="s">
        <v>44</v>
      </c>
      <c r="B195" t="s">
        <v>20</v>
      </c>
      <c r="C195" t="s">
        <v>27</v>
      </c>
      <c r="D195" t="s">
        <v>375</v>
      </c>
      <c r="E195" t="s">
        <v>279</v>
      </c>
      <c r="F195" t="s">
        <v>38</v>
      </c>
      <c r="G195" t="s">
        <v>444</v>
      </c>
    </row>
    <row r="196" spans="1:7">
      <c r="A196" t="s">
        <v>44</v>
      </c>
      <c r="B196" t="s">
        <v>20</v>
      </c>
      <c r="C196" t="s">
        <v>27</v>
      </c>
      <c r="D196" t="s">
        <v>445</v>
      </c>
      <c r="E196" t="s">
        <v>306</v>
      </c>
      <c r="F196" t="s">
        <v>38</v>
      </c>
      <c r="G196" t="s">
        <v>426</v>
      </c>
    </row>
    <row r="197" spans="1:7">
      <c r="A197" t="s">
        <v>446</v>
      </c>
      <c r="B197" t="s">
        <v>446</v>
      </c>
      <c r="C197" t="s">
        <v>446</v>
      </c>
      <c r="D197" t="s">
        <v>447</v>
      </c>
      <c r="E197" t="s">
        <v>446</v>
      </c>
      <c r="F197" t="s">
        <v>446</v>
      </c>
      <c r="G197" t="s">
        <v>448</v>
      </c>
    </row>
    <row r="198" spans="1:7">
      <c r="A198" t="s">
        <v>37</v>
      </c>
      <c r="B198" t="s">
        <v>446</v>
      </c>
      <c r="C198" t="s">
        <v>446</v>
      </c>
      <c r="D198" t="s">
        <v>449</v>
      </c>
      <c r="E198" t="s">
        <v>446</v>
      </c>
      <c r="F198" t="s">
        <v>446</v>
      </c>
      <c r="G198" t="s">
        <v>175</v>
      </c>
    </row>
    <row r="199" spans="1:7">
      <c r="A199" t="s">
        <v>37</v>
      </c>
      <c r="B199" t="s">
        <v>446</v>
      </c>
      <c r="C199" t="s">
        <v>446</v>
      </c>
      <c r="D199" t="s">
        <v>450</v>
      </c>
      <c r="E199" t="s">
        <v>446</v>
      </c>
      <c r="F199" t="s">
        <v>446</v>
      </c>
      <c r="G199" t="s">
        <v>268</v>
      </c>
    </row>
    <row r="200" spans="1:7">
      <c r="A200" t="s">
        <v>446</v>
      </c>
      <c r="B200" t="s">
        <v>446</v>
      </c>
      <c r="C200" t="s">
        <v>446</v>
      </c>
      <c r="D200" t="s">
        <v>451</v>
      </c>
      <c r="E200" t="s">
        <v>446</v>
      </c>
      <c r="F200" t="s">
        <v>446</v>
      </c>
      <c r="G200" t="s">
        <v>452</v>
      </c>
    </row>
    <row r="201" spans="1:7">
      <c r="A201" t="s">
        <v>446</v>
      </c>
      <c r="B201" t="s">
        <v>446</v>
      </c>
      <c r="C201" t="s">
        <v>446</v>
      </c>
      <c r="D201" t="s">
        <v>453</v>
      </c>
      <c r="E201" t="s">
        <v>446</v>
      </c>
      <c r="F201" t="s">
        <v>446</v>
      </c>
      <c r="G201" t="s">
        <v>454</v>
      </c>
    </row>
    <row r="202" spans="1:7">
      <c r="A202" t="s">
        <v>25</v>
      </c>
      <c r="B202" t="s">
        <v>446</v>
      </c>
      <c r="C202" t="s">
        <v>446</v>
      </c>
      <c r="D202" t="s">
        <v>455</v>
      </c>
      <c r="E202" t="s">
        <v>446</v>
      </c>
      <c r="F202" t="s">
        <v>446</v>
      </c>
      <c r="G202" t="s">
        <v>29</v>
      </c>
    </row>
    <row r="203" spans="1:7">
      <c r="A203" t="s">
        <v>25</v>
      </c>
      <c r="B203" t="s">
        <v>446</v>
      </c>
      <c r="C203" t="s">
        <v>446</v>
      </c>
      <c r="D203" t="s">
        <v>456</v>
      </c>
      <c r="E203" t="s">
        <v>446</v>
      </c>
      <c r="F203" t="s">
        <v>446</v>
      </c>
      <c r="G203" t="s">
        <v>30</v>
      </c>
    </row>
    <row r="204" spans="1:7">
      <c r="A204" t="s">
        <v>446</v>
      </c>
      <c r="B204" t="s">
        <v>446</v>
      </c>
      <c r="C204" t="s">
        <v>446</v>
      </c>
      <c r="D204" t="s">
        <v>457</v>
      </c>
      <c r="E204" t="s">
        <v>446</v>
      </c>
      <c r="F204" t="s">
        <v>446</v>
      </c>
      <c r="G204" t="s">
        <v>458</v>
      </c>
    </row>
    <row r="205" spans="1:7">
      <c r="A205" t="s">
        <v>446</v>
      </c>
      <c r="B205" t="s">
        <v>446</v>
      </c>
      <c r="C205" t="s">
        <v>446</v>
      </c>
      <c r="D205" t="s">
        <v>459</v>
      </c>
      <c r="E205" t="s">
        <v>446</v>
      </c>
      <c r="F205" t="s">
        <v>446</v>
      </c>
      <c r="G205" t="s">
        <v>460</v>
      </c>
    </row>
    <row r="206" spans="1:7">
      <c r="A206" t="s">
        <v>446</v>
      </c>
      <c r="B206" t="s">
        <v>446</v>
      </c>
      <c r="C206" t="s">
        <v>446</v>
      </c>
      <c r="D206" t="s">
        <v>461</v>
      </c>
      <c r="E206" t="s">
        <v>446</v>
      </c>
      <c r="F206" t="s">
        <v>446</v>
      </c>
      <c r="G206" t="s">
        <v>394</v>
      </c>
    </row>
    <row r="207" spans="1:7">
      <c r="A207" t="s">
        <v>446</v>
      </c>
      <c r="B207" t="s">
        <v>446</v>
      </c>
      <c r="C207" t="s">
        <v>446</v>
      </c>
      <c r="D207" t="s">
        <v>462</v>
      </c>
      <c r="E207" t="s">
        <v>446</v>
      </c>
      <c r="F207" t="s">
        <v>446</v>
      </c>
      <c r="G207" t="s">
        <v>463</v>
      </c>
    </row>
    <row r="208" spans="1:7">
      <c r="A208" t="s">
        <v>39</v>
      </c>
      <c r="B208" t="s">
        <v>446</v>
      </c>
      <c r="C208" t="s">
        <v>446</v>
      </c>
      <c r="D208" t="s">
        <v>464</v>
      </c>
      <c r="E208" t="s">
        <v>446</v>
      </c>
      <c r="F208" t="s">
        <v>446</v>
      </c>
      <c r="G208" t="s">
        <v>465</v>
      </c>
    </row>
    <row r="209" spans="1:7">
      <c r="A209" t="s">
        <v>39</v>
      </c>
      <c r="B209" t="s">
        <v>446</v>
      </c>
      <c r="C209" t="s">
        <v>446</v>
      </c>
      <c r="D209" t="s">
        <v>111</v>
      </c>
      <c r="E209" t="s">
        <v>446</v>
      </c>
      <c r="F209" t="s">
        <v>446</v>
      </c>
      <c r="G209" t="s">
        <v>201</v>
      </c>
    </row>
    <row r="210" spans="1:7">
      <c r="A210" t="s">
        <v>39</v>
      </c>
      <c r="B210" t="s">
        <v>446</v>
      </c>
      <c r="C210" t="s">
        <v>446</v>
      </c>
      <c r="D210" t="s">
        <v>466</v>
      </c>
      <c r="E210" t="s">
        <v>446</v>
      </c>
      <c r="F210" t="s">
        <v>446</v>
      </c>
      <c r="G210" t="s">
        <v>467</v>
      </c>
    </row>
    <row r="211" spans="1:7">
      <c r="A211" t="s">
        <v>39</v>
      </c>
      <c r="B211" t="s">
        <v>20</v>
      </c>
      <c r="D211" t="s">
        <v>266</v>
      </c>
      <c r="G211" t="s">
        <v>267</v>
      </c>
    </row>
    <row r="212" spans="1:7">
      <c r="A212" t="s">
        <v>446</v>
      </c>
      <c r="B212" t="s">
        <v>446</v>
      </c>
      <c r="D212" t="s">
        <v>468</v>
      </c>
      <c r="G212" t="s">
        <v>469</v>
      </c>
    </row>
    <row r="213" spans="1:7">
      <c r="A213" t="s">
        <v>43</v>
      </c>
      <c r="B213" t="s">
        <v>19</v>
      </c>
      <c r="D213" t="s">
        <v>470</v>
      </c>
      <c r="G213" t="s">
        <v>287</v>
      </c>
    </row>
    <row r="214" spans="1:7">
      <c r="A214" t="s">
        <v>43</v>
      </c>
      <c r="B214" t="s">
        <v>19</v>
      </c>
      <c r="D214" t="s">
        <v>471</v>
      </c>
      <c r="G214" t="s">
        <v>285</v>
      </c>
    </row>
    <row r="215" spans="1:7">
      <c r="A215" t="s">
        <v>49</v>
      </c>
      <c r="B215" t="s">
        <v>23</v>
      </c>
      <c r="D215" t="s">
        <v>472</v>
      </c>
      <c r="G215" t="s">
        <v>276</v>
      </c>
    </row>
    <row r="216" spans="1:7">
      <c r="A216" t="s">
        <v>42</v>
      </c>
      <c r="B216" t="s">
        <v>19</v>
      </c>
      <c r="D216" t="s">
        <v>473</v>
      </c>
      <c r="G216" t="s">
        <v>251</v>
      </c>
    </row>
    <row r="217" spans="1:7">
      <c r="A217" t="s">
        <v>446</v>
      </c>
      <c r="B217" t="s">
        <v>446</v>
      </c>
      <c r="D217" t="s">
        <v>474</v>
      </c>
      <c r="G217" t="s">
        <v>411</v>
      </c>
    </row>
    <row r="218" spans="1:7">
      <c r="A218" t="s">
        <v>49</v>
      </c>
      <c r="B218" t="s">
        <v>23</v>
      </c>
      <c r="D218" t="s">
        <v>475</v>
      </c>
      <c r="G218" t="s">
        <v>274</v>
      </c>
    </row>
    <row r="219" spans="1:7">
      <c r="A219" t="s">
        <v>270</v>
      </c>
      <c r="B219" t="s">
        <v>367</v>
      </c>
      <c r="D219" t="s">
        <v>476</v>
      </c>
      <c r="G219" t="s">
        <v>277</v>
      </c>
    </row>
    <row r="220" spans="1:7">
      <c r="A220" t="s">
        <v>446</v>
      </c>
      <c r="B220" t="s">
        <v>446</v>
      </c>
      <c r="D220" t="s">
        <v>477</v>
      </c>
      <c r="G220" t="s">
        <v>294</v>
      </c>
    </row>
    <row r="221" spans="1:7">
      <c r="A221" t="s">
        <v>42</v>
      </c>
      <c r="B221" t="s">
        <v>19</v>
      </c>
      <c r="D221" t="s">
        <v>478</v>
      </c>
      <c r="G221" t="s">
        <v>181</v>
      </c>
    </row>
    <row r="222" spans="1:7">
      <c r="A222" t="s">
        <v>44</v>
      </c>
      <c r="B222" t="s">
        <v>20</v>
      </c>
      <c r="D222" t="s">
        <v>78</v>
      </c>
      <c r="G222" t="s">
        <v>210</v>
      </c>
    </row>
    <row r="223" spans="1:7">
      <c r="A223" t="s">
        <v>44</v>
      </c>
      <c r="B223" t="s">
        <v>20</v>
      </c>
      <c r="D223" t="s">
        <v>212</v>
      </c>
      <c r="G223" t="s">
        <v>213</v>
      </c>
    </row>
    <row r="224" spans="1:7">
      <c r="A224" t="s">
        <v>42</v>
      </c>
      <c r="B224" t="s">
        <v>19</v>
      </c>
      <c r="D224" t="s">
        <v>479</v>
      </c>
      <c r="G224" t="s">
        <v>185</v>
      </c>
    </row>
    <row r="225" spans="1:7">
      <c r="A225" t="s">
        <v>49</v>
      </c>
      <c r="B225" t="s">
        <v>23</v>
      </c>
      <c r="D225" t="s">
        <v>480</v>
      </c>
      <c r="G225" t="s">
        <v>224</v>
      </c>
    </row>
    <row r="226" spans="1:7">
      <c r="A226" t="s">
        <v>49</v>
      </c>
      <c r="B226" t="s">
        <v>23</v>
      </c>
      <c r="D226" t="s">
        <v>481</v>
      </c>
      <c r="G226" t="s">
        <v>225</v>
      </c>
    </row>
    <row r="227" spans="1:7">
      <c r="A227" t="s">
        <v>49</v>
      </c>
      <c r="B227" t="s">
        <v>23</v>
      </c>
      <c r="C227" t="s">
        <v>38</v>
      </c>
      <c r="D227" t="s">
        <v>631</v>
      </c>
      <c r="E227" t="s">
        <v>283</v>
      </c>
      <c r="F227" t="s">
        <v>27</v>
      </c>
      <c r="G227" t="s">
        <v>272</v>
      </c>
    </row>
    <row r="228" spans="1:7">
      <c r="A228" t="s">
        <v>42</v>
      </c>
      <c r="B228" t="s">
        <v>19</v>
      </c>
      <c r="D228" t="s">
        <v>182</v>
      </c>
      <c r="G228" t="s">
        <v>183</v>
      </c>
    </row>
    <row r="229" spans="1:7">
      <c r="A229" t="s">
        <v>42</v>
      </c>
      <c r="B229" t="s">
        <v>19</v>
      </c>
      <c r="D229" t="s">
        <v>252</v>
      </c>
      <c r="G229" t="s">
        <v>253</v>
      </c>
    </row>
    <row r="230" spans="1:7">
      <c r="A230" t="s">
        <v>270</v>
      </c>
      <c r="B230" t="s">
        <v>22</v>
      </c>
      <c r="D230" t="s">
        <v>85</v>
      </c>
      <c r="G230" t="s">
        <v>271</v>
      </c>
    </row>
    <row r="231" spans="1:7">
      <c r="A231" t="s">
        <v>446</v>
      </c>
      <c r="B231" t="s">
        <v>446</v>
      </c>
      <c r="D231" t="s">
        <v>482</v>
      </c>
      <c r="G231" t="s">
        <v>439</v>
      </c>
    </row>
    <row r="232" spans="1:7">
      <c r="A232" t="s">
        <v>446</v>
      </c>
      <c r="B232" t="s">
        <v>446</v>
      </c>
      <c r="D232" t="s">
        <v>483</v>
      </c>
      <c r="G232" t="s">
        <v>403</v>
      </c>
    </row>
    <row r="233" spans="1:7">
      <c r="A233" t="s">
        <v>49</v>
      </c>
      <c r="B233" t="s">
        <v>23</v>
      </c>
      <c r="D233" t="s">
        <v>484</v>
      </c>
      <c r="G233" t="s">
        <v>226</v>
      </c>
    </row>
    <row r="234" spans="1:7">
      <c r="A234" t="s">
        <v>446</v>
      </c>
      <c r="B234" t="s">
        <v>446</v>
      </c>
      <c r="D234" t="s">
        <v>485</v>
      </c>
      <c r="G234" t="s">
        <v>292</v>
      </c>
    </row>
    <row r="235" spans="1:7">
      <c r="A235" t="s">
        <v>49</v>
      </c>
      <c r="B235" t="s">
        <v>23</v>
      </c>
      <c r="D235" t="s">
        <v>486</v>
      </c>
      <c r="G235" t="s">
        <v>273</v>
      </c>
    </row>
    <row r="236" spans="1:7">
      <c r="A236" t="s">
        <v>270</v>
      </c>
      <c r="B236" t="s">
        <v>22</v>
      </c>
      <c r="D236" t="s">
        <v>93</v>
      </c>
      <c r="G236" t="s">
        <v>269</v>
      </c>
    </row>
    <row r="237" spans="1:7">
      <c r="A237" t="s">
        <v>49</v>
      </c>
      <c r="B237" t="s">
        <v>23</v>
      </c>
      <c r="D237" t="s">
        <v>487</v>
      </c>
      <c r="G237" t="s">
        <v>227</v>
      </c>
    </row>
    <row r="238" spans="1:7">
      <c r="A238" t="s">
        <v>49</v>
      </c>
      <c r="B238" t="s">
        <v>23</v>
      </c>
      <c r="D238" t="s">
        <v>488</v>
      </c>
      <c r="G238" t="s">
        <v>272</v>
      </c>
    </row>
    <row r="239" spans="1:7">
      <c r="A239" t="s">
        <v>446</v>
      </c>
      <c r="B239" t="s">
        <v>446</v>
      </c>
      <c r="D239" t="s">
        <v>489</v>
      </c>
      <c r="G239" t="s">
        <v>490</v>
      </c>
    </row>
    <row r="240" spans="1:7">
      <c r="A240" t="s">
        <v>446</v>
      </c>
      <c r="B240" t="s">
        <v>446</v>
      </c>
      <c r="D240" t="s">
        <v>83</v>
      </c>
      <c r="G240" t="s">
        <v>290</v>
      </c>
    </row>
    <row r="241" spans="1:7">
      <c r="A241" t="s">
        <v>446</v>
      </c>
      <c r="B241" t="s">
        <v>446</v>
      </c>
      <c r="D241" t="s">
        <v>491</v>
      </c>
      <c r="G241" t="s">
        <v>492</v>
      </c>
    </row>
    <row r="242" spans="1:7">
      <c r="A242" t="s">
        <v>446</v>
      </c>
      <c r="B242" t="s">
        <v>446</v>
      </c>
      <c r="D242" t="s">
        <v>282</v>
      </c>
      <c r="G242" t="s">
        <v>291</v>
      </c>
    </row>
    <row r="243" spans="1:7">
      <c r="A243" t="s">
        <v>446</v>
      </c>
      <c r="B243" t="s">
        <v>446</v>
      </c>
      <c r="D243" t="s">
        <v>493</v>
      </c>
      <c r="G243" t="s">
        <v>494</v>
      </c>
    </row>
    <row r="244" spans="1:7">
      <c r="A244" t="s">
        <v>446</v>
      </c>
      <c r="B244" t="s">
        <v>446</v>
      </c>
      <c r="D244" t="s">
        <v>495</v>
      </c>
      <c r="G244" t="s">
        <v>496</v>
      </c>
    </row>
    <row r="245" spans="1:7">
      <c r="A245" t="s">
        <v>44</v>
      </c>
      <c r="B245" t="s">
        <v>20</v>
      </c>
      <c r="C245" t="s">
        <v>38</v>
      </c>
      <c r="D245" t="s">
        <v>497</v>
      </c>
      <c r="E245" t="s">
        <v>498</v>
      </c>
      <c r="F245" t="s">
        <v>27</v>
      </c>
      <c r="G245" t="s">
        <v>392</v>
      </c>
    </row>
    <row r="246" spans="1:7">
      <c r="A246" t="s">
        <v>44</v>
      </c>
      <c r="B246" t="s">
        <v>20</v>
      </c>
      <c r="C246" t="s">
        <v>27</v>
      </c>
      <c r="D246" t="s">
        <v>498</v>
      </c>
      <c r="E246" t="s">
        <v>497</v>
      </c>
      <c r="F246" t="s">
        <v>38</v>
      </c>
      <c r="G246" t="s">
        <v>427</v>
      </c>
    </row>
    <row r="247" spans="1:7">
      <c r="A247" t="s">
        <v>25</v>
      </c>
      <c r="B247" t="s">
        <v>19</v>
      </c>
      <c r="C247" t="s">
        <v>38</v>
      </c>
      <c r="D247" t="s">
        <v>499</v>
      </c>
      <c r="E247" t="s">
        <v>500</v>
      </c>
      <c r="F247" t="s">
        <v>27</v>
      </c>
      <c r="G247" t="s">
        <v>501</v>
      </c>
    </row>
    <row r="248" spans="1:7">
      <c r="A248" t="s">
        <v>25</v>
      </c>
      <c r="B248" t="s">
        <v>19</v>
      </c>
      <c r="C248" t="s">
        <v>27</v>
      </c>
      <c r="D248" t="s">
        <v>500</v>
      </c>
      <c r="E248" t="s">
        <v>499</v>
      </c>
      <c r="F248" t="s">
        <v>38</v>
      </c>
      <c r="G248" t="s">
        <v>502</v>
      </c>
    </row>
    <row r="249" spans="1:7">
      <c r="A249" t="s">
        <v>25</v>
      </c>
      <c r="B249" t="s">
        <v>20</v>
      </c>
      <c r="C249" t="s">
        <v>27</v>
      </c>
      <c r="D249" t="s">
        <v>633</v>
      </c>
      <c r="E249" t="s">
        <v>632</v>
      </c>
      <c r="F249" t="s">
        <v>38</v>
      </c>
      <c r="G249" t="s">
        <v>634</v>
      </c>
    </row>
    <row r="250" spans="1:7">
      <c r="A250" t="s">
        <v>25</v>
      </c>
      <c r="B250" t="s">
        <v>20</v>
      </c>
      <c r="C250" t="s">
        <v>38</v>
      </c>
      <c r="D250" t="s">
        <v>632</v>
      </c>
      <c r="E250" t="s">
        <v>633</v>
      </c>
      <c r="F250" t="s">
        <v>27</v>
      </c>
      <c r="G250" t="s">
        <v>635</v>
      </c>
    </row>
    <row r="251" spans="1:7">
      <c r="A251" t="s">
        <v>353</v>
      </c>
      <c r="B251" t="s">
        <v>20</v>
      </c>
      <c r="C251" t="s">
        <v>27</v>
      </c>
      <c r="D251" t="s">
        <v>644</v>
      </c>
      <c r="F251" t="s">
        <v>38</v>
      </c>
      <c r="G251" s="124" t="s">
        <v>189</v>
      </c>
    </row>
    <row r="252" spans="1:7">
      <c r="A252" t="s">
        <v>49</v>
      </c>
      <c r="B252" t="s">
        <v>23</v>
      </c>
      <c r="C252" t="s">
        <v>27</v>
      </c>
      <c r="D252" t="s">
        <v>652</v>
      </c>
      <c r="E252" t="s">
        <v>63</v>
      </c>
      <c r="F252" t="s">
        <v>38</v>
      </c>
      <c r="G252" t="s">
        <v>292</v>
      </c>
    </row>
  </sheetData>
  <autoFilter ref="A1:J252" xr:uid="{9DB4EBDF-D514-46DE-B060-98488EF16589}"/>
  <mergeCells count="1">
    <mergeCell ref="I4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1FC-059D-4BFB-9393-B0007AFEBD44}">
  <sheetPr codeName="Sheet8"/>
  <dimension ref="A1:J257"/>
  <sheetViews>
    <sheetView workbookViewId="0">
      <pane ySplit="1" topLeftCell="A86" activePane="bottomLeft" state="frozen"/>
      <selection pane="bottomLeft" activeCell="G259" sqref="G259"/>
    </sheetView>
  </sheetViews>
  <sheetFormatPr defaultRowHeight="15"/>
  <cols>
    <col min="1" max="1" width="10.28515625" bestFit="1" customWidth="1"/>
    <col min="2" max="2" width="13.85546875" bestFit="1" customWidth="1"/>
    <col min="4" max="4" width="12.5703125" bestFit="1" customWidth="1"/>
    <col min="8" max="9" width="10.42578125" bestFit="1" customWidth="1"/>
    <col min="11" max="12" width="10.42578125" bestFit="1" customWidth="1"/>
  </cols>
  <sheetData>
    <row r="1" spans="1:10">
      <c r="A1" s="7" t="s">
        <v>24</v>
      </c>
      <c r="B1" s="7" t="s">
        <v>17</v>
      </c>
      <c r="C1" s="7" t="s">
        <v>308</v>
      </c>
      <c r="D1" s="7" t="s">
        <v>309</v>
      </c>
      <c r="E1" s="7" t="s">
        <v>310</v>
      </c>
      <c r="F1" s="7" t="s">
        <v>311</v>
      </c>
      <c r="G1" t="s">
        <v>376</v>
      </c>
    </row>
    <row r="2" spans="1:10">
      <c r="A2" t="s">
        <v>42</v>
      </c>
      <c r="B2" t="s">
        <v>18</v>
      </c>
      <c r="C2" t="s">
        <v>38</v>
      </c>
      <c r="D2" t="s">
        <v>52</v>
      </c>
      <c r="E2" t="s">
        <v>107</v>
      </c>
      <c r="F2" t="s">
        <v>27</v>
      </c>
      <c r="G2" t="s">
        <v>173</v>
      </c>
      <c r="H2" s="2"/>
      <c r="I2" s="2" t="s">
        <v>312</v>
      </c>
      <c r="J2" s="2" t="s">
        <v>145</v>
      </c>
    </row>
    <row r="3" spans="1:10">
      <c r="A3" t="s">
        <v>42</v>
      </c>
      <c r="B3" t="s">
        <v>18</v>
      </c>
      <c r="C3" t="s">
        <v>38</v>
      </c>
      <c r="D3" t="s">
        <v>248</v>
      </c>
      <c r="E3" t="s">
        <v>124</v>
      </c>
      <c r="F3" t="s">
        <v>27</v>
      </c>
      <c r="G3" t="s">
        <v>249</v>
      </c>
      <c r="H3" s="27" t="s">
        <v>313</v>
      </c>
      <c r="I3" s="27" t="s">
        <v>42</v>
      </c>
      <c r="J3" s="27" t="s">
        <v>37</v>
      </c>
    </row>
    <row r="4" spans="1:10">
      <c r="A4" t="s">
        <v>42</v>
      </c>
      <c r="B4" t="s">
        <v>18</v>
      </c>
      <c r="C4" t="s">
        <v>38</v>
      </c>
      <c r="D4" t="s">
        <v>314</v>
      </c>
      <c r="E4" t="s">
        <v>100</v>
      </c>
      <c r="F4" t="s">
        <v>27</v>
      </c>
      <c r="G4" t="s">
        <v>377</v>
      </c>
      <c r="H4" s="27" t="s">
        <v>315</v>
      </c>
      <c r="I4" s="161" t="s">
        <v>316</v>
      </c>
      <c r="J4" s="161"/>
    </row>
    <row r="5" spans="1:10">
      <c r="A5" t="s">
        <v>42</v>
      </c>
      <c r="B5" t="s">
        <v>18</v>
      </c>
      <c r="C5" t="s">
        <v>38</v>
      </c>
      <c r="D5" t="s">
        <v>54</v>
      </c>
      <c r="E5" t="s">
        <v>55</v>
      </c>
      <c r="F5" t="s">
        <v>27</v>
      </c>
      <c r="G5" t="s">
        <v>179</v>
      </c>
      <c r="H5" s="27" t="s">
        <v>317</v>
      </c>
      <c r="I5" s="161"/>
      <c r="J5" s="161"/>
    </row>
    <row r="6" spans="1:10">
      <c r="A6" t="s">
        <v>42</v>
      </c>
      <c r="B6" t="s">
        <v>18</v>
      </c>
      <c r="C6" t="s">
        <v>38</v>
      </c>
      <c r="D6" t="s">
        <v>177</v>
      </c>
      <c r="E6" t="s">
        <v>318</v>
      </c>
      <c r="F6" t="s">
        <v>27</v>
      </c>
      <c r="G6" t="s">
        <v>178</v>
      </c>
    </row>
    <row r="7" spans="1:10">
      <c r="A7" t="s">
        <v>42</v>
      </c>
      <c r="B7" t="s">
        <v>18</v>
      </c>
      <c r="C7" t="s">
        <v>38</v>
      </c>
      <c r="D7" t="s">
        <v>52</v>
      </c>
      <c r="E7" t="s">
        <v>107</v>
      </c>
      <c r="F7" t="s">
        <v>27</v>
      </c>
      <c r="G7" t="s">
        <v>173</v>
      </c>
    </row>
    <row r="8" spans="1:10">
      <c r="A8" t="s">
        <v>37</v>
      </c>
      <c r="B8" t="s">
        <v>18</v>
      </c>
      <c r="C8" t="s">
        <v>38</v>
      </c>
      <c r="D8" t="s">
        <v>98</v>
      </c>
      <c r="E8" t="s">
        <v>57</v>
      </c>
      <c r="F8" t="s">
        <v>27</v>
      </c>
      <c r="G8" t="s">
        <v>168</v>
      </c>
    </row>
    <row r="9" spans="1:10">
      <c r="A9" t="s">
        <v>37</v>
      </c>
      <c r="B9" t="s">
        <v>18</v>
      </c>
      <c r="C9" t="s">
        <v>38</v>
      </c>
      <c r="D9" t="s">
        <v>115</v>
      </c>
      <c r="E9" t="s">
        <v>91</v>
      </c>
      <c r="F9" t="s">
        <v>27</v>
      </c>
      <c r="G9" t="s">
        <v>170</v>
      </c>
    </row>
    <row r="10" spans="1:10">
      <c r="A10" t="s">
        <v>37</v>
      </c>
      <c r="B10" t="s">
        <v>18</v>
      </c>
      <c r="C10" t="s">
        <v>38</v>
      </c>
      <c r="D10" t="s">
        <v>319</v>
      </c>
      <c r="E10" t="s">
        <v>320</v>
      </c>
      <c r="F10" t="s">
        <v>27</v>
      </c>
      <c r="G10" t="s">
        <v>378</v>
      </c>
    </row>
    <row r="11" spans="1:10">
      <c r="A11" t="s">
        <v>43</v>
      </c>
      <c r="B11" t="s">
        <v>18</v>
      </c>
      <c r="C11" t="s">
        <v>38</v>
      </c>
      <c r="D11" t="s">
        <v>68</v>
      </c>
      <c r="E11" t="s">
        <v>59</v>
      </c>
      <c r="F11" t="s">
        <v>27</v>
      </c>
      <c r="G11" t="s">
        <v>237</v>
      </c>
    </row>
    <row r="12" spans="1:10">
      <c r="A12" t="s">
        <v>43</v>
      </c>
      <c r="B12" t="s">
        <v>18</v>
      </c>
      <c r="C12" t="s">
        <v>38</v>
      </c>
      <c r="D12" t="s">
        <v>307</v>
      </c>
      <c r="E12" t="s">
        <v>321</v>
      </c>
      <c r="F12" t="s">
        <v>27</v>
      </c>
      <c r="G12" t="s">
        <v>379</v>
      </c>
    </row>
    <row r="13" spans="1:10">
      <c r="A13" t="s">
        <v>25</v>
      </c>
      <c r="B13" t="s">
        <v>18</v>
      </c>
      <c r="C13" t="s">
        <v>38</v>
      </c>
      <c r="D13" t="s">
        <v>112</v>
      </c>
      <c r="E13" t="s">
        <v>56</v>
      </c>
      <c r="F13" t="s">
        <v>27</v>
      </c>
      <c r="G13" t="s">
        <v>278</v>
      </c>
    </row>
    <row r="14" spans="1:10">
      <c r="A14" t="s">
        <v>25</v>
      </c>
      <c r="B14" t="s">
        <v>18</v>
      </c>
      <c r="C14" t="s">
        <v>38</v>
      </c>
      <c r="D14" t="s">
        <v>95</v>
      </c>
      <c r="E14" t="s">
        <v>58</v>
      </c>
      <c r="F14" t="s">
        <v>27</v>
      </c>
      <c r="G14" t="s">
        <v>215</v>
      </c>
    </row>
    <row r="15" spans="1:10">
      <c r="A15" t="s">
        <v>42</v>
      </c>
      <c r="B15" t="s">
        <v>19</v>
      </c>
      <c r="C15" t="s">
        <v>38</v>
      </c>
      <c r="D15" t="s">
        <v>250</v>
      </c>
      <c r="E15" t="s">
        <v>104</v>
      </c>
      <c r="F15" t="s">
        <v>27</v>
      </c>
      <c r="G15" t="s">
        <v>251</v>
      </c>
    </row>
    <row r="16" spans="1:10">
      <c r="A16" t="s">
        <v>42</v>
      </c>
      <c r="B16" t="s">
        <v>19</v>
      </c>
      <c r="C16" t="s">
        <v>38</v>
      </c>
      <c r="D16" t="s">
        <v>75</v>
      </c>
      <c r="E16" t="s">
        <v>76</v>
      </c>
      <c r="F16" t="s">
        <v>27</v>
      </c>
      <c r="G16" t="s">
        <v>181</v>
      </c>
    </row>
    <row r="17" spans="1:7">
      <c r="A17" t="s">
        <v>42</v>
      </c>
      <c r="B17" t="s">
        <v>19</v>
      </c>
      <c r="C17" t="s">
        <v>38</v>
      </c>
      <c r="D17" t="s">
        <v>250</v>
      </c>
      <c r="E17" t="s">
        <v>104</v>
      </c>
      <c r="F17" t="s">
        <v>27</v>
      </c>
      <c r="G17" t="s">
        <v>251</v>
      </c>
    </row>
    <row r="18" spans="1:7">
      <c r="A18" t="s">
        <v>42</v>
      </c>
      <c r="B18" t="s">
        <v>19</v>
      </c>
      <c r="C18" t="s">
        <v>38</v>
      </c>
      <c r="D18" t="s">
        <v>322</v>
      </c>
      <c r="E18" t="s">
        <v>323</v>
      </c>
      <c r="F18" t="s">
        <v>27</v>
      </c>
      <c r="G18" t="s">
        <v>380</v>
      </c>
    </row>
    <row r="19" spans="1:7">
      <c r="A19" t="s">
        <v>42</v>
      </c>
      <c r="B19" t="s">
        <v>19</v>
      </c>
      <c r="C19" t="s">
        <v>38</v>
      </c>
      <c r="D19" t="s">
        <v>324</v>
      </c>
      <c r="E19" t="s">
        <v>325</v>
      </c>
      <c r="F19" t="s">
        <v>27</v>
      </c>
      <c r="G19" t="s">
        <v>381</v>
      </c>
    </row>
    <row r="20" spans="1:7">
      <c r="A20" t="s">
        <v>42</v>
      </c>
      <c r="B20" t="s">
        <v>19</v>
      </c>
      <c r="C20" t="s">
        <v>38</v>
      </c>
      <c r="D20" t="s">
        <v>326</v>
      </c>
      <c r="E20" t="s">
        <v>327</v>
      </c>
      <c r="F20" t="s">
        <v>27</v>
      </c>
      <c r="G20" t="s">
        <v>382</v>
      </c>
    </row>
    <row r="21" spans="1:7">
      <c r="A21" t="s">
        <v>42</v>
      </c>
      <c r="B21" t="s">
        <v>19</v>
      </c>
      <c r="C21" t="s">
        <v>38</v>
      </c>
      <c r="D21" t="s">
        <v>328</v>
      </c>
      <c r="E21" t="s">
        <v>329</v>
      </c>
      <c r="F21" t="s">
        <v>27</v>
      </c>
      <c r="G21" t="s">
        <v>383</v>
      </c>
    </row>
    <row r="22" spans="1:7">
      <c r="A22" t="s">
        <v>42</v>
      </c>
      <c r="B22" t="s">
        <v>19</v>
      </c>
      <c r="C22" t="s">
        <v>38</v>
      </c>
      <c r="D22" t="s">
        <v>186</v>
      </c>
      <c r="E22" t="s">
        <v>77</v>
      </c>
      <c r="F22" t="s">
        <v>27</v>
      </c>
      <c r="G22" t="s">
        <v>187</v>
      </c>
    </row>
    <row r="23" spans="1:7">
      <c r="A23" t="s">
        <v>42</v>
      </c>
      <c r="B23" t="s">
        <v>19</v>
      </c>
      <c r="C23" t="s">
        <v>38</v>
      </c>
      <c r="D23" t="s">
        <v>254</v>
      </c>
      <c r="E23" t="s">
        <v>97</v>
      </c>
      <c r="F23" t="s">
        <v>27</v>
      </c>
      <c r="G23" t="s">
        <v>255</v>
      </c>
    </row>
    <row r="24" spans="1:7">
      <c r="A24" t="s">
        <v>42</v>
      </c>
      <c r="B24" t="s">
        <v>19</v>
      </c>
      <c r="C24" t="s">
        <v>38</v>
      </c>
      <c r="D24" t="s">
        <v>330</v>
      </c>
      <c r="E24" t="s">
        <v>331</v>
      </c>
      <c r="F24" t="s">
        <v>27</v>
      </c>
      <c r="G24" t="s">
        <v>384</v>
      </c>
    </row>
    <row r="25" spans="1:7">
      <c r="A25" t="s">
        <v>44</v>
      </c>
      <c r="B25" t="s">
        <v>19</v>
      </c>
      <c r="C25" t="s">
        <v>38</v>
      </c>
      <c r="D25" t="s">
        <v>202</v>
      </c>
      <c r="E25" t="s">
        <v>332</v>
      </c>
      <c r="F25" t="s">
        <v>27</v>
      </c>
      <c r="G25" t="s">
        <v>203</v>
      </c>
    </row>
    <row r="26" spans="1:7">
      <c r="A26" t="s">
        <v>44</v>
      </c>
      <c r="B26" t="s">
        <v>19</v>
      </c>
      <c r="C26" t="s">
        <v>38</v>
      </c>
      <c r="D26" t="s">
        <v>80</v>
      </c>
      <c r="E26" t="s">
        <v>71</v>
      </c>
      <c r="F26" t="s">
        <v>27</v>
      </c>
      <c r="G26" t="s">
        <v>208</v>
      </c>
    </row>
    <row r="27" spans="1:7">
      <c r="A27" t="s">
        <v>44</v>
      </c>
      <c r="B27" t="s">
        <v>19</v>
      </c>
      <c r="C27" t="s">
        <v>38</v>
      </c>
      <c r="D27" t="s">
        <v>114</v>
      </c>
      <c r="E27" t="s">
        <v>260</v>
      </c>
      <c r="F27" t="s">
        <v>27</v>
      </c>
      <c r="G27" t="s">
        <v>214</v>
      </c>
    </row>
    <row r="28" spans="1:7">
      <c r="A28" t="s">
        <v>44</v>
      </c>
      <c r="B28" t="s">
        <v>19</v>
      </c>
      <c r="C28" t="s">
        <v>38</v>
      </c>
      <c r="D28" t="s">
        <v>333</v>
      </c>
      <c r="E28" t="s">
        <v>334</v>
      </c>
      <c r="F28" t="s">
        <v>27</v>
      </c>
      <c r="G28" t="s">
        <v>385</v>
      </c>
    </row>
    <row r="29" spans="1:7">
      <c r="A29" t="s">
        <v>44</v>
      </c>
      <c r="B29" t="s">
        <v>19</v>
      </c>
      <c r="C29" t="s">
        <v>38</v>
      </c>
      <c r="D29" t="s">
        <v>204</v>
      </c>
      <c r="E29" t="s">
        <v>335</v>
      </c>
      <c r="F29" t="s">
        <v>27</v>
      </c>
      <c r="G29" t="s">
        <v>205</v>
      </c>
    </row>
    <row r="30" spans="1:7">
      <c r="A30" t="s">
        <v>44</v>
      </c>
      <c r="B30" t="s">
        <v>19</v>
      </c>
      <c r="C30" t="s">
        <v>38</v>
      </c>
      <c r="D30" t="s">
        <v>144</v>
      </c>
      <c r="E30" t="s">
        <v>74</v>
      </c>
      <c r="F30" t="s">
        <v>27</v>
      </c>
      <c r="G30" t="s">
        <v>386</v>
      </c>
    </row>
    <row r="31" spans="1:7">
      <c r="A31" t="s">
        <v>44</v>
      </c>
      <c r="B31" t="s">
        <v>19</v>
      </c>
      <c r="C31" t="s">
        <v>38</v>
      </c>
      <c r="D31" t="s">
        <v>53</v>
      </c>
      <c r="E31" t="s">
        <v>96</v>
      </c>
      <c r="F31" t="s">
        <v>27</v>
      </c>
      <c r="G31" t="s">
        <v>206</v>
      </c>
    </row>
    <row r="32" spans="1:7">
      <c r="A32" t="s">
        <v>43</v>
      </c>
      <c r="B32" t="s">
        <v>19</v>
      </c>
      <c r="C32" t="s">
        <v>38</v>
      </c>
      <c r="D32" t="s">
        <v>79</v>
      </c>
      <c r="E32" t="s">
        <v>60</v>
      </c>
      <c r="F32" t="s">
        <v>27</v>
      </c>
      <c r="G32" t="s">
        <v>240</v>
      </c>
    </row>
    <row r="33" spans="1:7">
      <c r="A33" t="s">
        <v>43</v>
      </c>
      <c r="B33" t="s">
        <v>19</v>
      </c>
      <c r="C33" t="s">
        <v>38</v>
      </c>
      <c r="D33" t="s">
        <v>122</v>
      </c>
      <c r="E33" t="s">
        <v>280</v>
      </c>
      <c r="F33" t="s">
        <v>27</v>
      </c>
      <c r="G33" t="s">
        <v>287</v>
      </c>
    </row>
    <row r="34" spans="1:7">
      <c r="A34" t="s">
        <v>42</v>
      </c>
      <c r="B34" t="s">
        <v>20</v>
      </c>
      <c r="C34" t="s">
        <v>38</v>
      </c>
      <c r="D34" t="s">
        <v>336</v>
      </c>
      <c r="E34" t="s">
        <v>89</v>
      </c>
      <c r="F34" t="s">
        <v>27</v>
      </c>
      <c r="G34" t="s">
        <v>387</v>
      </c>
    </row>
    <row r="35" spans="1:7">
      <c r="A35" t="s">
        <v>42</v>
      </c>
      <c r="B35" t="s">
        <v>20</v>
      </c>
      <c r="C35" t="s">
        <v>38</v>
      </c>
      <c r="D35" t="s">
        <v>256</v>
      </c>
      <c r="E35" t="s">
        <v>337</v>
      </c>
      <c r="F35" t="s">
        <v>27</v>
      </c>
      <c r="G35" t="s">
        <v>257</v>
      </c>
    </row>
    <row r="36" spans="1:7">
      <c r="A36" t="s">
        <v>42</v>
      </c>
      <c r="B36" t="s">
        <v>20</v>
      </c>
      <c r="C36" t="s">
        <v>38</v>
      </c>
      <c r="D36" t="s">
        <v>338</v>
      </c>
      <c r="E36" t="s">
        <v>258</v>
      </c>
      <c r="F36" t="s">
        <v>27</v>
      </c>
      <c r="G36" t="s">
        <v>388</v>
      </c>
    </row>
    <row r="37" spans="1:7">
      <c r="A37" t="s">
        <v>42</v>
      </c>
      <c r="B37" t="s">
        <v>20</v>
      </c>
      <c r="C37" t="s">
        <v>38</v>
      </c>
      <c r="D37" t="s">
        <v>126</v>
      </c>
      <c r="E37" t="s">
        <v>339</v>
      </c>
      <c r="F37" t="s">
        <v>27</v>
      </c>
      <c r="G37" t="s">
        <v>195</v>
      </c>
    </row>
    <row r="38" spans="1:7">
      <c r="A38" t="s">
        <v>42</v>
      </c>
      <c r="B38" t="s">
        <v>20</v>
      </c>
      <c r="C38" t="s">
        <v>38</v>
      </c>
      <c r="D38" t="s">
        <v>340</v>
      </c>
      <c r="E38" t="s">
        <v>341</v>
      </c>
      <c r="F38" t="s">
        <v>27</v>
      </c>
      <c r="G38" t="s">
        <v>389</v>
      </c>
    </row>
    <row r="39" spans="1:7">
      <c r="A39" t="s">
        <v>44</v>
      </c>
      <c r="B39" t="s">
        <v>20</v>
      </c>
      <c r="C39" t="s">
        <v>38</v>
      </c>
      <c r="D39" t="s">
        <v>342</v>
      </c>
      <c r="E39" t="s">
        <v>281</v>
      </c>
      <c r="F39" t="s">
        <v>27</v>
      </c>
      <c r="G39" t="s">
        <v>210</v>
      </c>
    </row>
    <row r="40" spans="1:7">
      <c r="A40" t="s">
        <v>44</v>
      </c>
      <c r="B40" t="s">
        <v>20</v>
      </c>
      <c r="C40" t="s">
        <v>38</v>
      </c>
      <c r="D40" t="s">
        <v>343</v>
      </c>
      <c r="E40" t="s">
        <v>344</v>
      </c>
      <c r="F40" t="s">
        <v>27</v>
      </c>
      <c r="G40" t="s">
        <v>390</v>
      </c>
    </row>
    <row r="41" spans="1:7">
      <c r="A41" t="s">
        <v>44</v>
      </c>
      <c r="B41" t="s">
        <v>20</v>
      </c>
      <c r="C41" t="s">
        <v>38</v>
      </c>
      <c r="D41" t="s">
        <v>90</v>
      </c>
      <c r="E41" t="s">
        <v>345</v>
      </c>
      <c r="F41" t="s">
        <v>27</v>
      </c>
      <c r="G41" t="s">
        <v>211</v>
      </c>
    </row>
    <row r="42" spans="1:7">
      <c r="A42" t="s">
        <v>44</v>
      </c>
      <c r="B42" t="s">
        <v>20</v>
      </c>
      <c r="C42" t="s">
        <v>38</v>
      </c>
      <c r="D42" t="s">
        <v>306</v>
      </c>
      <c r="E42" t="s">
        <v>346</v>
      </c>
      <c r="F42" t="s">
        <v>27</v>
      </c>
      <c r="G42" t="s">
        <v>391</v>
      </c>
    </row>
    <row r="43" spans="1:7">
      <c r="A43" t="s">
        <v>44</v>
      </c>
      <c r="B43" t="s">
        <v>20</v>
      </c>
      <c r="C43" t="s">
        <v>38</v>
      </c>
      <c r="D43" t="s">
        <v>347</v>
      </c>
      <c r="E43" t="s">
        <v>348</v>
      </c>
      <c r="F43" t="s">
        <v>27</v>
      </c>
      <c r="G43" t="s">
        <v>392</v>
      </c>
    </row>
    <row r="44" spans="1:7">
      <c r="A44" t="s">
        <v>42</v>
      </c>
      <c r="B44" t="s">
        <v>20</v>
      </c>
      <c r="C44" t="s">
        <v>38</v>
      </c>
      <c r="D44" t="s">
        <v>349</v>
      </c>
      <c r="E44" t="s">
        <v>350</v>
      </c>
      <c r="F44" t="s">
        <v>27</v>
      </c>
      <c r="G44" t="s">
        <v>393</v>
      </c>
    </row>
    <row r="45" spans="1:7">
      <c r="A45" t="s">
        <v>42</v>
      </c>
      <c r="B45" t="s">
        <v>20</v>
      </c>
      <c r="C45" t="s">
        <v>38</v>
      </c>
      <c r="D45" t="s">
        <v>351</v>
      </c>
      <c r="E45" t="s">
        <v>352</v>
      </c>
      <c r="F45" t="s">
        <v>27</v>
      </c>
      <c r="G45" t="s">
        <v>394</v>
      </c>
    </row>
    <row r="46" spans="1:7">
      <c r="A46" t="s">
        <v>26</v>
      </c>
      <c r="B46" t="s">
        <v>20</v>
      </c>
      <c r="C46" t="s">
        <v>38</v>
      </c>
      <c r="D46" t="s">
        <v>102</v>
      </c>
      <c r="E46" t="s">
        <v>127</v>
      </c>
      <c r="F46" t="s">
        <v>27</v>
      </c>
      <c r="G46" t="s">
        <v>395</v>
      </c>
    </row>
    <row r="47" spans="1:7">
      <c r="A47" t="s">
        <v>26</v>
      </c>
      <c r="B47" t="s">
        <v>20</v>
      </c>
      <c r="C47" t="s">
        <v>38</v>
      </c>
      <c r="D47" t="s">
        <v>94</v>
      </c>
      <c r="E47" t="s">
        <v>232</v>
      </c>
      <c r="F47" t="s">
        <v>27</v>
      </c>
      <c r="G47" t="s">
        <v>264</v>
      </c>
    </row>
    <row r="48" spans="1:7">
      <c r="A48" t="s">
        <v>26</v>
      </c>
      <c r="B48" t="s">
        <v>20</v>
      </c>
      <c r="C48" t="s">
        <v>38</v>
      </c>
      <c r="D48" t="s">
        <v>146</v>
      </c>
      <c r="E48" t="s">
        <v>123</v>
      </c>
      <c r="F48" t="s">
        <v>27</v>
      </c>
      <c r="G48" t="s">
        <v>263</v>
      </c>
    </row>
    <row r="49" spans="1:7">
      <c r="A49" t="s">
        <v>26</v>
      </c>
      <c r="B49" t="s">
        <v>20</v>
      </c>
      <c r="C49" t="s">
        <v>38</v>
      </c>
      <c r="D49" t="s">
        <v>105</v>
      </c>
      <c r="E49" t="s">
        <v>69</v>
      </c>
      <c r="F49" t="s">
        <v>27</v>
      </c>
      <c r="G49" t="s">
        <v>228</v>
      </c>
    </row>
    <row r="50" spans="1:7">
      <c r="A50" t="s">
        <v>26</v>
      </c>
      <c r="B50" t="s">
        <v>20</v>
      </c>
      <c r="C50" t="s">
        <v>38</v>
      </c>
      <c r="D50" t="s">
        <v>81</v>
      </c>
      <c r="E50" t="s">
        <v>119</v>
      </c>
      <c r="F50" t="s">
        <v>27</v>
      </c>
      <c r="G50" t="s">
        <v>231</v>
      </c>
    </row>
    <row r="51" spans="1:7">
      <c r="A51" t="s">
        <v>26</v>
      </c>
      <c r="B51" t="s">
        <v>20</v>
      </c>
      <c r="C51" t="s">
        <v>38</v>
      </c>
      <c r="D51" t="s">
        <v>164</v>
      </c>
      <c r="E51" t="s">
        <v>234</v>
      </c>
      <c r="F51" t="s">
        <v>27</v>
      </c>
      <c r="G51" t="s">
        <v>265</v>
      </c>
    </row>
    <row r="52" spans="1:7">
      <c r="A52" t="s">
        <v>26</v>
      </c>
      <c r="B52" t="s">
        <v>20</v>
      </c>
      <c r="C52" t="s">
        <v>38</v>
      </c>
      <c r="D52" t="s">
        <v>229</v>
      </c>
      <c r="E52" t="s">
        <v>92</v>
      </c>
      <c r="F52" t="s">
        <v>27</v>
      </c>
      <c r="G52" t="s">
        <v>230</v>
      </c>
    </row>
    <row r="53" spans="1:7">
      <c r="A53" t="s">
        <v>26</v>
      </c>
      <c r="B53" t="s">
        <v>20</v>
      </c>
      <c r="C53" t="s">
        <v>38</v>
      </c>
      <c r="D53" t="s">
        <v>143</v>
      </c>
      <c r="E53" t="s">
        <v>72</v>
      </c>
      <c r="F53" t="s">
        <v>27</v>
      </c>
      <c r="G53" t="s">
        <v>288</v>
      </c>
    </row>
    <row r="54" spans="1:7">
      <c r="A54" t="s">
        <v>26</v>
      </c>
      <c r="B54" t="s">
        <v>20</v>
      </c>
      <c r="C54" t="s">
        <v>38</v>
      </c>
      <c r="D54" t="s">
        <v>302</v>
      </c>
      <c r="E54" t="s">
        <v>303</v>
      </c>
      <c r="F54" t="s">
        <v>27</v>
      </c>
      <c r="G54" t="s">
        <v>396</v>
      </c>
    </row>
    <row r="55" spans="1:7">
      <c r="A55" t="s">
        <v>26</v>
      </c>
      <c r="B55" t="s">
        <v>20</v>
      </c>
      <c r="C55" t="s">
        <v>38</v>
      </c>
      <c r="D55" t="s">
        <v>125</v>
      </c>
      <c r="E55" t="s">
        <v>305</v>
      </c>
      <c r="F55" t="s">
        <v>27</v>
      </c>
      <c r="G55" t="s">
        <v>289</v>
      </c>
    </row>
    <row r="56" spans="1:7">
      <c r="A56" t="s">
        <v>26</v>
      </c>
      <c r="B56" t="s">
        <v>20</v>
      </c>
      <c r="C56" t="s">
        <v>38</v>
      </c>
      <c r="D56" t="s">
        <v>304</v>
      </c>
      <c r="E56" t="s">
        <v>73</v>
      </c>
      <c r="F56" t="s">
        <v>27</v>
      </c>
      <c r="G56" t="s">
        <v>397</v>
      </c>
    </row>
    <row r="57" spans="1:7">
      <c r="A57" t="s">
        <v>353</v>
      </c>
      <c r="B57" t="s">
        <v>20</v>
      </c>
      <c r="C57" t="s">
        <v>38</v>
      </c>
      <c r="D57" t="s">
        <v>197</v>
      </c>
      <c r="E57" t="s">
        <v>354</v>
      </c>
      <c r="F57" t="s">
        <v>27</v>
      </c>
      <c r="G57" t="s">
        <v>198</v>
      </c>
    </row>
    <row r="58" spans="1:7">
      <c r="A58" t="s">
        <v>353</v>
      </c>
      <c r="B58" t="s">
        <v>20</v>
      </c>
      <c r="C58" t="s">
        <v>38</v>
      </c>
      <c r="D58" t="s">
        <v>82</v>
      </c>
      <c r="E58" t="s">
        <v>355</v>
      </c>
      <c r="F58" t="s">
        <v>27</v>
      </c>
      <c r="G58" t="s">
        <v>196</v>
      </c>
    </row>
    <row r="59" spans="1:7">
      <c r="A59" t="s">
        <v>353</v>
      </c>
      <c r="B59" t="s">
        <v>20</v>
      </c>
      <c r="C59" t="s">
        <v>38</v>
      </c>
      <c r="D59" t="s">
        <v>190</v>
      </c>
      <c r="E59" t="s">
        <v>188</v>
      </c>
      <c r="F59" t="s">
        <v>27</v>
      </c>
      <c r="G59" t="s">
        <v>191</v>
      </c>
    </row>
    <row r="60" spans="1:7">
      <c r="A60" t="s">
        <v>353</v>
      </c>
      <c r="B60" t="s">
        <v>20</v>
      </c>
      <c r="C60" t="s">
        <v>38</v>
      </c>
      <c r="D60" t="s">
        <v>356</v>
      </c>
      <c r="E60" t="s">
        <v>199</v>
      </c>
      <c r="F60" t="s">
        <v>27</v>
      </c>
      <c r="G60" t="s">
        <v>398</v>
      </c>
    </row>
    <row r="61" spans="1:7">
      <c r="A61" t="s">
        <v>353</v>
      </c>
      <c r="B61" t="s">
        <v>20</v>
      </c>
      <c r="C61" t="s">
        <v>38</v>
      </c>
      <c r="D61" t="s">
        <v>357</v>
      </c>
      <c r="E61" t="s">
        <v>193</v>
      </c>
      <c r="F61" t="s">
        <v>27</v>
      </c>
      <c r="G61" t="s">
        <v>399</v>
      </c>
    </row>
    <row r="62" spans="1:7">
      <c r="A62" t="s">
        <v>353</v>
      </c>
      <c r="B62" t="s">
        <v>20</v>
      </c>
      <c r="C62" t="s">
        <v>38</v>
      </c>
      <c r="D62" t="s">
        <v>358</v>
      </c>
      <c r="E62" t="s">
        <v>359</v>
      </c>
      <c r="F62" t="s">
        <v>27</v>
      </c>
      <c r="G62" t="s">
        <v>400</v>
      </c>
    </row>
    <row r="63" spans="1:7">
      <c r="A63" t="s">
        <v>47</v>
      </c>
      <c r="B63" t="s">
        <v>20</v>
      </c>
      <c r="C63" t="s">
        <v>38</v>
      </c>
      <c r="D63" t="s">
        <v>245</v>
      </c>
      <c r="E63" t="s">
        <v>70</v>
      </c>
      <c r="F63" t="s">
        <v>27</v>
      </c>
      <c r="G63" t="s">
        <v>48</v>
      </c>
    </row>
    <row r="64" spans="1:7">
      <c r="A64" t="s">
        <v>360</v>
      </c>
      <c r="B64" t="s">
        <v>20</v>
      </c>
      <c r="C64" t="s">
        <v>38</v>
      </c>
      <c r="D64" t="s">
        <v>361</v>
      </c>
      <c r="E64" t="s">
        <v>362</v>
      </c>
      <c r="F64" t="s">
        <v>27</v>
      </c>
      <c r="G64" t="s">
        <v>401</v>
      </c>
    </row>
    <row r="65" spans="1:7">
      <c r="A65" t="s">
        <v>270</v>
      </c>
      <c r="B65" t="s">
        <v>21</v>
      </c>
      <c r="C65" t="s">
        <v>38</v>
      </c>
      <c r="D65" t="s">
        <v>116</v>
      </c>
      <c r="E65" t="s">
        <v>363</v>
      </c>
      <c r="F65" t="s">
        <v>27</v>
      </c>
      <c r="G65" t="s">
        <v>402</v>
      </c>
    </row>
    <row r="66" spans="1:7">
      <c r="A66" t="s">
        <v>270</v>
      </c>
      <c r="B66" t="s">
        <v>21</v>
      </c>
      <c r="C66" t="s">
        <v>38</v>
      </c>
      <c r="D66" t="s">
        <v>109</v>
      </c>
      <c r="E66" t="s">
        <v>121</v>
      </c>
      <c r="F66" t="s">
        <v>27</v>
      </c>
      <c r="G66" t="s">
        <v>297</v>
      </c>
    </row>
    <row r="67" spans="1:7">
      <c r="A67" t="s">
        <v>270</v>
      </c>
      <c r="B67" t="s">
        <v>21</v>
      </c>
      <c r="C67" t="s">
        <v>38</v>
      </c>
      <c r="D67" t="s">
        <v>147</v>
      </c>
      <c r="E67" t="s">
        <v>364</v>
      </c>
      <c r="F67" t="s">
        <v>27</v>
      </c>
      <c r="G67" t="s">
        <v>403</v>
      </c>
    </row>
    <row r="68" spans="1:7">
      <c r="A68" t="s">
        <v>270</v>
      </c>
      <c r="B68" t="s">
        <v>21</v>
      </c>
      <c r="C68" t="s">
        <v>38</v>
      </c>
      <c r="D68" t="s">
        <v>365</v>
      </c>
      <c r="E68" t="s">
        <v>366</v>
      </c>
      <c r="F68" t="s">
        <v>27</v>
      </c>
      <c r="G68" t="s">
        <v>404</v>
      </c>
    </row>
    <row r="69" spans="1:7">
      <c r="A69" t="s">
        <v>270</v>
      </c>
      <c r="B69" t="s">
        <v>367</v>
      </c>
      <c r="C69" t="s">
        <v>38</v>
      </c>
      <c r="D69" t="s">
        <v>148</v>
      </c>
      <c r="E69" t="s">
        <v>149</v>
      </c>
      <c r="F69" t="s">
        <v>27</v>
      </c>
      <c r="G69" t="s">
        <v>269</v>
      </c>
    </row>
    <row r="70" spans="1:7">
      <c r="A70" t="s">
        <v>270</v>
      </c>
      <c r="B70" t="s">
        <v>367</v>
      </c>
      <c r="C70" t="s">
        <v>38</v>
      </c>
      <c r="D70" t="s">
        <v>110</v>
      </c>
      <c r="E70" t="s">
        <v>113</v>
      </c>
      <c r="F70" t="s">
        <v>27</v>
      </c>
      <c r="G70" t="s">
        <v>277</v>
      </c>
    </row>
    <row r="71" spans="1:7">
      <c r="A71" t="s">
        <v>37</v>
      </c>
      <c r="B71" t="s">
        <v>367</v>
      </c>
      <c r="C71" t="s">
        <v>38</v>
      </c>
      <c r="D71" t="s">
        <v>284</v>
      </c>
      <c r="E71" t="s">
        <v>368</v>
      </c>
      <c r="F71" t="s">
        <v>27</v>
      </c>
      <c r="G71" t="s">
        <v>295</v>
      </c>
    </row>
    <row r="72" spans="1:7">
      <c r="A72" t="s">
        <v>37</v>
      </c>
      <c r="B72" t="s">
        <v>367</v>
      </c>
      <c r="C72" t="s">
        <v>38</v>
      </c>
      <c r="D72" t="s">
        <v>118</v>
      </c>
      <c r="E72" t="s">
        <v>99</v>
      </c>
      <c r="F72" t="s">
        <v>27</v>
      </c>
      <c r="G72" t="s">
        <v>175</v>
      </c>
    </row>
    <row r="73" spans="1:7">
      <c r="A73" t="s">
        <v>37</v>
      </c>
      <c r="B73" t="s">
        <v>367</v>
      </c>
      <c r="C73" t="s">
        <v>38</v>
      </c>
      <c r="D73" t="s">
        <v>66</v>
      </c>
      <c r="E73" t="s">
        <v>108</v>
      </c>
      <c r="F73" t="s">
        <v>27</v>
      </c>
      <c r="G73" t="s">
        <v>176</v>
      </c>
    </row>
    <row r="74" spans="1:7">
      <c r="A74" t="s">
        <v>270</v>
      </c>
      <c r="B74" t="s">
        <v>367</v>
      </c>
      <c r="C74" t="s">
        <v>38</v>
      </c>
      <c r="D74" t="s">
        <v>148</v>
      </c>
      <c r="E74" t="s">
        <v>149</v>
      </c>
      <c r="F74" t="s">
        <v>27</v>
      </c>
      <c r="G74" t="s">
        <v>269</v>
      </c>
    </row>
    <row r="75" spans="1:7">
      <c r="A75" t="s">
        <v>270</v>
      </c>
      <c r="B75" t="s">
        <v>367</v>
      </c>
      <c r="C75" t="s">
        <v>38</v>
      </c>
      <c r="D75" t="s">
        <v>110</v>
      </c>
      <c r="E75" t="s">
        <v>113</v>
      </c>
      <c r="F75" t="s">
        <v>27</v>
      </c>
      <c r="G75" t="s">
        <v>277</v>
      </c>
    </row>
    <row r="76" spans="1:7">
      <c r="A76" t="s">
        <v>43</v>
      </c>
      <c r="B76" t="s">
        <v>367</v>
      </c>
      <c r="C76" t="s">
        <v>38</v>
      </c>
      <c r="D76" t="s">
        <v>88</v>
      </c>
      <c r="E76" t="s">
        <v>86</v>
      </c>
      <c r="F76" t="s">
        <v>27</v>
      </c>
      <c r="G76" t="s">
        <v>242</v>
      </c>
    </row>
    <row r="77" spans="1:7">
      <c r="A77" t="s">
        <v>43</v>
      </c>
      <c r="B77" t="s">
        <v>367</v>
      </c>
      <c r="C77" t="s">
        <v>38</v>
      </c>
      <c r="D77" t="s">
        <v>51</v>
      </c>
      <c r="E77" t="s">
        <v>62</v>
      </c>
      <c r="F77" t="s">
        <v>27</v>
      </c>
      <c r="G77" t="s">
        <v>241</v>
      </c>
    </row>
    <row r="78" spans="1:7">
      <c r="A78" t="s">
        <v>25</v>
      </c>
      <c r="B78" t="s">
        <v>367</v>
      </c>
      <c r="C78" t="s">
        <v>38</v>
      </c>
      <c r="D78" t="s">
        <v>64</v>
      </c>
      <c r="E78" t="s">
        <v>61</v>
      </c>
      <c r="F78" t="s">
        <v>27</v>
      </c>
      <c r="G78" t="s">
        <v>29</v>
      </c>
    </row>
    <row r="79" spans="1:7">
      <c r="A79" t="s">
        <v>25</v>
      </c>
      <c r="B79" t="s">
        <v>367</v>
      </c>
      <c r="C79" t="s">
        <v>38</v>
      </c>
      <c r="D79" t="s">
        <v>165</v>
      </c>
      <c r="E79" t="s">
        <v>141</v>
      </c>
      <c r="F79" t="s">
        <v>27</v>
      </c>
      <c r="G79" t="s">
        <v>286</v>
      </c>
    </row>
    <row r="80" spans="1:7">
      <c r="A80" t="s">
        <v>25</v>
      </c>
      <c r="B80" t="s">
        <v>367</v>
      </c>
      <c r="C80" t="s">
        <v>38</v>
      </c>
      <c r="D80" t="s">
        <v>369</v>
      </c>
      <c r="E80" t="s">
        <v>370</v>
      </c>
      <c r="F80" t="s">
        <v>27</v>
      </c>
      <c r="G80" t="s">
        <v>405</v>
      </c>
    </row>
    <row r="81" spans="1:7">
      <c r="A81" t="s">
        <v>49</v>
      </c>
      <c r="B81" t="s">
        <v>23</v>
      </c>
      <c r="C81" t="s">
        <v>38</v>
      </c>
      <c r="D81" t="s">
        <v>63</v>
      </c>
      <c r="E81" t="s">
        <v>283</v>
      </c>
      <c r="F81" t="s">
        <v>27</v>
      </c>
      <c r="G81" t="s">
        <v>272</v>
      </c>
    </row>
    <row r="82" spans="1:7">
      <c r="A82" t="s">
        <v>49</v>
      </c>
      <c r="B82" t="s">
        <v>23</v>
      </c>
      <c r="C82" t="s">
        <v>38</v>
      </c>
      <c r="D82" t="s">
        <v>87</v>
      </c>
      <c r="E82" t="s">
        <v>84</v>
      </c>
      <c r="F82" t="s">
        <v>27</v>
      </c>
      <c r="G82" t="s">
        <v>227</v>
      </c>
    </row>
    <row r="83" spans="1:7">
      <c r="A83" t="s">
        <v>49</v>
      </c>
      <c r="B83" t="s">
        <v>23</v>
      </c>
      <c r="C83" t="s">
        <v>38</v>
      </c>
      <c r="D83" t="s">
        <v>103</v>
      </c>
      <c r="E83" t="s">
        <v>166</v>
      </c>
      <c r="F83" t="s">
        <v>27</v>
      </c>
      <c r="G83" t="s">
        <v>276</v>
      </c>
    </row>
    <row r="84" spans="1:7">
      <c r="A84" t="s">
        <v>49</v>
      </c>
      <c r="B84" t="s">
        <v>23</v>
      </c>
      <c r="C84" t="s">
        <v>38</v>
      </c>
      <c r="D84" t="s">
        <v>65</v>
      </c>
      <c r="E84" t="s">
        <v>371</v>
      </c>
      <c r="F84" t="s">
        <v>27</v>
      </c>
      <c r="G84" t="s">
        <v>274</v>
      </c>
    </row>
    <row r="85" spans="1:7">
      <c r="A85" t="s">
        <v>49</v>
      </c>
      <c r="B85" t="s">
        <v>23</v>
      </c>
      <c r="C85" t="s">
        <v>38</v>
      </c>
      <c r="D85" t="s">
        <v>120</v>
      </c>
      <c r="E85" t="s">
        <v>371</v>
      </c>
      <c r="F85" t="s">
        <v>27</v>
      </c>
      <c r="G85" t="s">
        <v>226</v>
      </c>
    </row>
    <row r="86" spans="1:7">
      <c r="A86" t="s">
        <v>49</v>
      </c>
      <c r="B86" t="s">
        <v>23</v>
      </c>
      <c r="C86" t="s">
        <v>38</v>
      </c>
      <c r="D86" t="s">
        <v>222</v>
      </c>
      <c r="E86" t="s">
        <v>371</v>
      </c>
      <c r="F86" t="s">
        <v>27</v>
      </c>
      <c r="G86" t="s">
        <v>223</v>
      </c>
    </row>
    <row r="87" spans="1:7">
      <c r="A87" t="s">
        <v>49</v>
      </c>
      <c r="B87" t="s">
        <v>23</v>
      </c>
      <c r="C87" t="s">
        <v>38</v>
      </c>
      <c r="D87" t="s">
        <v>372</v>
      </c>
      <c r="E87" t="s">
        <v>371</v>
      </c>
      <c r="F87" t="s">
        <v>27</v>
      </c>
      <c r="G87" t="s">
        <v>223</v>
      </c>
    </row>
    <row r="88" spans="1:7">
      <c r="A88" t="s">
        <v>49</v>
      </c>
      <c r="B88" t="s">
        <v>23</v>
      </c>
      <c r="C88" t="s">
        <v>38</v>
      </c>
      <c r="D88" t="s">
        <v>67</v>
      </c>
      <c r="E88" t="s">
        <v>371</v>
      </c>
      <c r="F88" t="s">
        <v>27</v>
      </c>
      <c r="G88" t="s">
        <v>224</v>
      </c>
    </row>
    <row r="89" spans="1:7">
      <c r="A89" t="s">
        <v>49</v>
      </c>
      <c r="B89" t="s">
        <v>23</v>
      </c>
      <c r="C89" t="s">
        <v>38</v>
      </c>
      <c r="D89" t="s">
        <v>120</v>
      </c>
      <c r="E89" t="s">
        <v>371</v>
      </c>
      <c r="F89" t="s">
        <v>27</v>
      </c>
      <c r="G89" t="s">
        <v>226</v>
      </c>
    </row>
    <row r="90" spans="1:7">
      <c r="A90" t="s">
        <v>49</v>
      </c>
      <c r="B90" t="s">
        <v>23</v>
      </c>
      <c r="C90" t="s">
        <v>38</v>
      </c>
      <c r="D90" t="s">
        <v>117</v>
      </c>
      <c r="E90" t="s">
        <v>371</v>
      </c>
      <c r="F90" t="s">
        <v>27</v>
      </c>
      <c r="G90" t="s">
        <v>275</v>
      </c>
    </row>
    <row r="91" spans="1:7">
      <c r="A91" t="s">
        <v>49</v>
      </c>
      <c r="B91" t="s">
        <v>23</v>
      </c>
      <c r="C91" t="s">
        <v>38</v>
      </c>
      <c r="D91" t="s">
        <v>106</v>
      </c>
      <c r="E91" t="s">
        <v>371</v>
      </c>
      <c r="F91" t="s">
        <v>27</v>
      </c>
      <c r="G91" t="s">
        <v>225</v>
      </c>
    </row>
    <row r="92" spans="1:7">
      <c r="A92" t="s">
        <v>49</v>
      </c>
      <c r="B92" t="s">
        <v>23</v>
      </c>
      <c r="C92" t="s">
        <v>38</v>
      </c>
      <c r="D92" t="s">
        <v>373</v>
      </c>
      <c r="E92" t="s">
        <v>371</v>
      </c>
      <c r="F92" t="s">
        <v>27</v>
      </c>
      <c r="G92" t="s">
        <v>275</v>
      </c>
    </row>
    <row r="93" spans="1:7">
      <c r="A93" t="s">
        <v>49</v>
      </c>
      <c r="B93" t="s">
        <v>23</v>
      </c>
      <c r="C93" t="s">
        <v>38</v>
      </c>
      <c r="D93" t="s">
        <v>101</v>
      </c>
      <c r="E93" t="s">
        <v>371</v>
      </c>
      <c r="F93" t="s">
        <v>27</v>
      </c>
      <c r="G93" t="s">
        <v>219</v>
      </c>
    </row>
    <row r="94" spans="1:7">
      <c r="A94" t="s">
        <v>25</v>
      </c>
      <c r="B94" t="s">
        <v>23</v>
      </c>
      <c r="C94" t="s">
        <v>38</v>
      </c>
      <c r="D94" t="s">
        <v>142</v>
      </c>
      <c r="E94" t="s">
        <v>371</v>
      </c>
      <c r="F94" t="s">
        <v>27</v>
      </c>
      <c r="G94" t="s">
        <v>216</v>
      </c>
    </row>
    <row r="95" spans="1:7">
      <c r="A95" t="s">
        <v>25</v>
      </c>
      <c r="B95" t="s">
        <v>23</v>
      </c>
      <c r="C95" t="s">
        <v>38</v>
      </c>
      <c r="D95" t="s">
        <v>374</v>
      </c>
      <c r="E95" t="s">
        <v>371</v>
      </c>
      <c r="F95" t="s">
        <v>27</v>
      </c>
      <c r="G95" t="s">
        <v>406</v>
      </c>
    </row>
    <row r="96" spans="1:7">
      <c r="A96" t="s">
        <v>4</v>
      </c>
      <c r="B96" t="s">
        <v>23</v>
      </c>
      <c r="C96" t="s">
        <v>38</v>
      </c>
      <c r="D96" t="s">
        <v>220</v>
      </c>
      <c r="E96" t="s">
        <v>371</v>
      </c>
      <c r="F96" t="s">
        <v>27</v>
      </c>
      <c r="G96" t="s">
        <v>221</v>
      </c>
    </row>
    <row r="97" spans="1:7">
      <c r="A97" t="s">
        <v>4</v>
      </c>
      <c r="B97" t="s">
        <v>23</v>
      </c>
      <c r="C97" t="s">
        <v>38</v>
      </c>
      <c r="D97" t="s">
        <v>217</v>
      </c>
      <c r="E97" t="s">
        <v>371</v>
      </c>
      <c r="F97" t="s">
        <v>27</v>
      </c>
      <c r="G97" t="s">
        <v>218</v>
      </c>
    </row>
    <row r="98" spans="1:7">
      <c r="A98" t="s">
        <v>42</v>
      </c>
      <c r="B98" t="s">
        <v>18</v>
      </c>
      <c r="C98" t="s">
        <v>27</v>
      </c>
      <c r="D98" t="s">
        <v>107</v>
      </c>
      <c r="E98" t="s">
        <v>52</v>
      </c>
      <c r="F98" t="s">
        <v>38</v>
      </c>
      <c r="G98" t="s">
        <v>172</v>
      </c>
    </row>
    <row r="99" spans="1:7">
      <c r="A99" t="s">
        <v>42</v>
      </c>
      <c r="B99" t="s">
        <v>18</v>
      </c>
      <c r="C99" t="s">
        <v>27</v>
      </c>
      <c r="D99" t="s">
        <v>124</v>
      </c>
      <c r="E99" t="s">
        <v>248</v>
      </c>
      <c r="F99" t="s">
        <v>38</v>
      </c>
      <c r="G99" t="s">
        <v>169</v>
      </c>
    </row>
    <row r="100" spans="1:7">
      <c r="A100" t="s">
        <v>42</v>
      </c>
      <c r="B100" t="s">
        <v>18</v>
      </c>
      <c r="C100" t="s">
        <v>27</v>
      </c>
      <c r="D100" t="s">
        <v>100</v>
      </c>
      <c r="E100" t="s">
        <v>314</v>
      </c>
      <c r="F100" t="s">
        <v>38</v>
      </c>
      <c r="G100" t="s">
        <v>407</v>
      </c>
    </row>
    <row r="101" spans="1:7">
      <c r="A101" t="s">
        <v>42</v>
      </c>
      <c r="B101" t="s">
        <v>18</v>
      </c>
      <c r="C101" t="s">
        <v>27</v>
      </c>
      <c r="D101" t="s">
        <v>55</v>
      </c>
      <c r="E101" t="s">
        <v>54</v>
      </c>
      <c r="F101" t="s">
        <v>38</v>
      </c>
      <c r="G101" t="s">
        <v>246</v>
      </c>
    </row>
    <row r="102" spans="1:7">
      <c r="A102" s="6" t="s">
        <v>42</v>
      </c>
      <c r="B102" s="6" t="s">
        <v>18</v>
      </c>
      <c r="C102" s="6" t="s">
        <v>27</v>
      </c>
      <c r="D102" s="6" t="s">
        <v>318</v>
      </c>
      <c r="E102" s="6" t="s">
        <v>177</v>
      </c>
      <c r="F102" s="6" t="s">
        <v>38</v>
      </c>
      <c r="G102" t="s">
        <v>408</v>
      </c>
    </row>
    <row r="103" spans="1:7">
      <c r="A103" t="s">
        <v>42</v>
      </c>
      <c r="B103" t="s">
        <v>18</v>
      </c>
      <c r="C103" t="s">
        <v>27</v>
      </c>
      <c r="D103" t="s">
        <v>107</v>
      </c>
      <c r="E103" t="s">
        <v>52</v>
      </c>
      <c r="F103" t="s">
        <v>38</v>
      </c>
      <c r="G103" t="s">
        <v>172</v>
      </c>
    </row>
    <row r="104" spans="1:7">
      <c r="A104" t="s">
        <v>37</v>
      </c>
      <c r="B104" t="s">
        <v>18</v>
      </c>
      <c r="C104" t="s">
        <v>27</v>
      </c>
      <c r="D104" t="s">
        <v>124</v>
      </c>
      <c r="E104" t="s">
        <v>248</v>
      </c>
      <c r="F104" t="s">
        <v>38</v>
      </c>
      <c r="G104" t="s">
        <v>169</v>
      </c>
    </row>
    <row r="105" spans="1:7">
      <c r="A105" t="s">
        <v>37</v>
      </c>
      <c r="B105" t="s">
        <v>18</v>
      </c>
      <c r="C105" t="s">
        <v>27</v>
      </c>
      <c r="D105" t="s">
        <v>57</v>
      </c>
      <c r="E105" t="s">
        <v>98</v>
      </c>
      <c r="F105" t="s">
        <v>38</v>
      </c>
      <c r="G105" t="s">
        <v>171</v>
      </c>
    </row>
    <row r="106" spans="1:7">
      <c r="A106" t="s">
        <v>37</v>
      </c>
      <c r="B106" t="s">
        <v>18</v>
      </c>
      <c r="C106" t="s">
        <v>27</v>
      </c>
      <c r="D106" t="s">
        <v>91</v>
      </c>
      <c r="E106" t="s">
        <v>115</v>
      </c>
      <c r="F106" t="s">
        <v>38</v>
      </c>
      <c r="G106" t="s">
        <v>247</v>
      </c>
    </row>
    <row r="107" spans="1:7">
      <c r="A107" t="s">
        <v>37</v>
      </c>
      <c r="B107" t="s">
        <v>18</v>
      </c>
      <c r="C107" t="s">
        <v>27</v>
      </c>
      <c r="D107" t="s">
        <v>320</v>
      </c>
      <c r="E107" t="s">
        <v>319</v>
      </c>
      <c r="F107" t="s">
        <v>38</v>
      </c>
      <c r="G107" t="s">
        <v>409</v>
      </c>
    </row>
    <row r="108" spans="1:7">
      <c r="A108" t="s">
        <v>43</v>
      </c>
      <c r="B108" t="s">
        <v>18</v>
      </c>
      <c r="C108" t="s">
        <v>27</v>
      </c>
      <c r="D108" t="s">
        <v>59</v>
      </c>
      <c r="E108" t="s">
        <v>68</v>
      </c>
      <c r="F108" t="s">
        <v>38</v>
      </c>
      <c r="G108" t="s">
        <v>238</v>
      </c>
    </row>
    <row r="109" spans="1:7">
      <c r="A109" t="s">
        <v>43</v>
      </c>
      <c r="B109" t="s">
        <v>18</v>
      </c>
      <c r="C109" t="s">
        <v>27</v>
      </c>
      <c r="D109" t="s">
        <v>321</v>
      </c>
      <c r="E109" t="s">
        <v>307</v>
      </c>
      <c r="F109" t="s">
        <v>38</v>
      </c>
      <c r="G109" t="s">
        <v>410</v>
      </c>
    </row>
    <row r="110" spans="1:7">
      <c r="A110" t="s">
        <v>25</v>
      </c>
      <c r="B110" t="s">
        <v>18</v>
      </c>
      <c r="C110" t="s">
        <v>27</v>
      </c>
      <c r="D110" t="s">
        <v>56</v>
      </c>
      <c r="E110" t="s">
        <v>112</v>
      </c>
      <c r="F110" t="s">
        <v>38</v>
      </c>
      <c r="G110" t="s">
        <v>40</v>
      </c>
    </row>
    <row r="111" spans="1:7">
      <c r="A111" t="s">
        <v>25</v>
      </c>
      <c r="B111" t="s">
        <v>18</v>
      </c>
      <c r="C111" t="s">
        <v>27</v>
      </c>
      <c r="D111" t="s">
        <v>58</v>
      </c>
      <c r="E111" t="s">
        <v>95</v>
      </c>
      <c r="F111" t="s">
        <v>38</v>
      </c>
      <c r="G111" t="s">
        <v>41</v>
      </c>
    </row>
    <row r="112" spans="1:7">
      <c r="A112" t="s">
        <v>42</v>
      </c>
      <c r="B112" t="s">
        <v>19</v>
      </c>
      <c r="C112" t="s">
        <v>27</v>
      </c>
      <c r="D112" t="s">
        <v>104</v>
      </c>
      <c r="E112" t="s">
        <v>250</v>
      </c>
      <c r="F112" t="s">
        <v>38</v>
      </c>
      <c r="G112" t="s">
        <v>411</v>
      </c>
    </row>
    <row r="113" spans="1:7">
      <c r="A113" t="s">
        <v>42</v>
      </c>
      <c r="B113" t="s">
        <v>19</v>
      </c>
      <c r="C113" t="s">
        <v>27</v>
      </c>
      <c r="D113" t="s">
        <v>76</v>
      </c>
      <c r="E113" t="s">
        <v>75</v>
      </c>
      <c r="F113" t="s">
        <v>38</v>
      </c>
      <c r="G113" t="s">
        <v>185</v>
      </c>
    </row>
    <row r="114" spans="1:7">
      <c r="A114" t="s">
        <v>42</v>
      </c>
      <c r="B114" t="s">
        <v>19</v>
      </c>
      <c r="C114" t="s">
        <v>27</v>
      </c>
      <c r="D114" t="s">
        <v>104</v>
      </c>
      <c r="E114" t="s">
        <v>250</v>
      </c>
      <c r="F114" t="s">
        <v>38</v>
      </c>
      <c r="G114" t="s">
        <v>411</v>
      </c>
    </row>
    <row r="115" spans="1:7">
      <c r="A115" t="s">
        <v>42</v>
      </c>
      <c r="B115" t="s">
        <v>19</v>
      </c>
      <c r="C115" t="s">
        <v>27</v>
      </c>
      <c r="D115" t="s">
        <v>323</v>
      </c>
      <c r="E115" t="s">
        <v>322</v>
      </c>
      <c r="F115" t="s">
        <v>38</v>
      </c>
      <c r="G115" t="s">
        <v>412</v>
      </c>
    </row>
    <row r="116" spans="1:7">
      <c r="A116" t="s">
        <v>42</v>
      </c>
      <c r="B116" t="s">
        <v>19</v>
      </c>
      <c r="C116" t="s">
        <v>27</v>
      </c>
      <c r="D116" t="s">
        <v>325</v>
      </c>
      <c r="E116" t="s">
        <v>324</v>
      </c>
      <c r="F116" t="s">
        <v>38</v>
      </c>
      <c r="G116" t="s">
        <v>413</v>
      </c>
    </row>
    <row r="117" spans="1:7">
      <c r="A117" t="s">
        <v>42</v>
      </c>
      <c r="B117" t="s">
        <v>19</v>
      </c>
      <c r="C117" t="s">
        <v>27</v>
      </c>
      <c r="D117" t="s">
        <v>327</v>
      </c>
      <c r="E117" t="s">
        <v>326</v>
      </c>
      <c r="F117" t="s">
        <v>38</v>
      </c>
      <c r="G117" t="s">
        <v>414</v>
      </c>
    </row>
    <row r="118" spans="1:7">
      <c r="A118" t="s">
        <v>42</v>
      </c>
      <c r="B118" t="s">
        <v>19</v>
      </c>
      <c r="C118" t="s">
        <v>27</v>
      </c>
      <c r="D118" t="s">
        <v>329</v>
      </c>
      <c r="E118" t="s">
        <v>328</v>
      </c>
      <c r="F118" t="s">
        <v>38</v>
      </c>
      <c r="G118" t="s">
        <v>415</v>
      </c>
    </row>
    <row r="119" spans="1:7">
      <c r="A119" t="s">
        <v>42</v>
      </c>
      <c r="B119" t="s">
        <v>19</v>
      </c>
      <c r="C119" t="s">
        <v>27</v>
      </c>
      <c r="D119" t="s">
        <v>77</v>
      </c>
      <c r="E119" t="s">
        <v>186</v>
      </c>
      <c r="F119" t="s">
        <v>38</v>
      </c>
      <c r="G119" t="s">
        <v>184</v>
      </c>
    </row>
    <row r="120" spans="1:7">
      <c r="A120" t="s">
        <v>42</v>
      </c>
      <c r="B120" t="s">
        <v>19</v>
      </c>
      <c r="C120" t="s">
        <v>27</v>
      </c>
      <c r="D120" t="s">
        <v>97</v>
      </c>
      <c r="E120" t="s">
        <v>254</v>
      </c>
      <c r="F120" t="s">
        <v>38</v>
      </c>
      <c r="G120" t="s">
        <v>180</v>
      </c>
    </row>
    <row r="121" spans="1:7">
      <c r="A121" t="s">
        <v>42</v>
      </c>
      <c r="B121" t="s">
        <v>19</v>
      </c>
      <c r="C121" t="s">
        <v>27</v>
      </c>
      <c r="D121" t="s">
        <v>331</v>
      </c>
      <c r="E121" t="s">
        <v>330</v>
      </c>
      <c r="F121" t="s">
        <v>38</v>
      </c>
      <c r="G121" t="s">
        <v>416</v>
      </c>
    </row>
    <row r="122" spans="1:7">
      <c r="A122" t="s">
        <v>44</v>
      </c>
      <c r="B122" t="s">
        <v>19</v>
      </c>
      <c r="C122" t="s">
        <v>27</v>
      </c>
      <c r="D122" t="s">
        <v>332</v>
      </c>
      <c r="E122" t="s">
        <v>202</v>
      </c>
      <c r="F122" t="s">
        <v>38</v>
      </c>
      <c r="G122" t="s">
        <v>417</v>
      </c>
    </row>
    <row r="123" spans="1:7">
      <c r="A123" t="s">
        <v>44</v>
      </c>
      <c r="B123" t="s">
        <v>19</v>
      </c>
      <c r="C123" t="s">
        <v>27</v>
      </c>
      <c r="D123" t="s">
        <v>71</v>
      </c>
      <c r="E123" t="s">
        <v>80</v>
      </c>
      <c r="F123" t="s">
        <v>38</v>
      </c>
      <c r="G123" t="s">
        <v>209</v>
      </c>
    </row>
    <row r="124" spans="1:7">
      <c r="A124" t="s">
        <v>44</v>
      </c>
      <c r="B124" t="s">
        <v>19</v>
      </c>
      <c r="C124" t="s">
        <v>27</v>
      </c>
      <c r="D124" t="s">
        <v>260</v>
      </c>
      <c r="E124" t="s">
        <v>114</v>
      </c>
      <c r="F124" t="s">
        <v>38</v>
      </c>
      <c r="G124" t="s">
        <v>261</v>
      </c>
    </row>
    <row r="125" spans="1:7">
      <c r="A125" t="s">
        <v>44</v>
      </c>
      <c r="B125" t="s">
        <v>19</v>
      </c>
      <c r="C125" t="s">
        <v>27</v>
      </c>
      <c r="D125" t="s">
        <v>334</v>
      </c>
      <c r="E125" t="s">
        <v>333</v>
      </c>
      <c r="F125" t="s">
        <v>38</v>
      </c>
      <c r="G125" t="s">
        <v>418</v>
      </c>
    </row>
    <row r="126" spans="1:7">
      <c r="A126" t="s">
        <v>44</v>
      </c>
      <c r="B126" t="s">
        <v>19</v>
      </c>
      <c r="C126" t="s">
        <v>27</v>
      </c>
      <c r="D126" t="s">
        <v>335</v>
      </c>
      <c r="E126" t="s">
        <v>204</v>
      </c>
      <c r="F126" t="s">
        <v>38</v>
      </c>
      <c r="G126" t="s">
        <v>419</v>
      </c>
    </row>
    <row r="127" spans="1:7">
      <c r="A127" t="s">
        <v>44</v>
      </c>
      <c r="B127" t="s">
        <v>19</v>
      </c>
      <c r="C127" t="s">
        <v>27</v>
      </c>
      <c r="D127" t="s">
        <v>74</v>
      </c>
      <c r="E127" t="s">
        <v>144</v>
      </c>
      <c r="F127" t="s">
        <v>38</v>
      </c>
      <c r="G127" t="s">
        <v>420</v>
      </c>
    </row>
    <row r="128" spans="1:7">
      <c r="A128" t="s">
        <v>44</v>
      </c>
      <c r="B128" t="s">
        <v>19</v>
      </c>
      <c r="C128" t="s">
        <v>27</v>
      </c>
      <c r="D128" t="s">
        <v>96</v>
      </c>
      <c r="E128" t="s">
        <v>53</v>
      </c>
      <c r="F128" t="s">
        <v>38</v>
      </c>
      <c r="G128" t="s">
        <v>207</v>
      </c>
    </row>
    <row r="129" spans="1:7">
      <c r="A129" t="s">
        <v>43</v>
      </c>
      <c r="B129" t="s">
        <v>19</v>
      </c>
      <c r="C129" t="s">
        <v>27</v>
      </c>
      <c r="D129" t="s">
        <v>60</v>
      </c>
      <c r="E129" t="s">
        <v>79</v>
      </c>
      <c r="F129" t="s">
        <v>38</v>
      </c>
      <c r="G129" t="s">
        <v>239</v>
      </c>
    </row>
    <row r="130" spans="1:7">
      <c r="A130" t="s">
        <v>43</v>
      </c>
      <c r="B130" t="s">
        <v>19</v>
      </c>
      <c r="C130" t="s">
        <v>27</v>
      </c>
      <c r="D130" t="s">
        <v>280</v>
      </c>
      <c r="E130" t="s">
        <v>122</v>
      </c>
      <c r="F130" t="s">
        <v>38</v>
      </c>
      <c r="G130" t="s">
        <v>285</v>
      </c>
    </row>
    <row r="131" spans="1:7">
      <c r="A131" t="s">
        <v>42</v>
      </c>
      <c r="B131" t="s">
        <v>20</v>
      </c>
      <c r="C131" t="s">
        <v>27</v>
      </c>
      <c r="D131" t="s">
        <v>89</v>
      </c>
      <c r="E131" t="s">
        <v>336</v>
      </c>
      <c r="F131" t="s">
        <v>38</v>
      </c>
      <c r="G131" t="s">
        <v>192</v>
      </c>
    </row>
    <row r="132" spans="1:7">
      <c r="A132" t="s">
        <v>42</v>
      </c>
      <c r="B132" t="s">
        <v>20</v>
      </c>
      <c r="C132" t="s">
        <v>27</v>
      </c>
      <c r="D132" t="s">
        <v>337</v>
      </c>
      <c r="E132" t="s">
        <v>256</v>
      </c>
      <c r="F132" t="s">
        <v>38</v>
      </c>
      <c r="G132" t="s">
        <v>421</v>
      </c>
    </row>
    <row r="133" spans="1:7">
      <c r="A133" t="s">
        <v>42</v>
      </c>
      <c r="B133" t="s">
        <v>20</v>
      </c>
      <c r="C133" t="s">
        <v>27</v>
      </c>
      <c r="D133" t="s">
        <v>258</v>
      </c>
      <c r="E133" t="s">
        <v>338</v>
      </c>
      <c r="F133" t="s">
        <v>38</v>
      </c>
      <c r="G133" t="s">
        <v>259</v>
      </c>
    </row>
    <row r="134" spans="1:7">
      <c r="A134" t="s">
        <v>42</v>
      </c>
      <c r="B134" t="s">
        <v>20</v>
      </c>
      <c r="C134" t="s">
        <v>27</v>
      </c>
      <c r="D134" t="s">
        <v>339</v>
      </c>
      <c r="E134" t="s">
        <v>126</v>
      </c>
      <c r="F134" t="s">
        <v>38</v>
      </c>
      <c r="G134" t="s">
        <v>422</v>
      </c>
    </row>
    <row r="135" spans="1:7">
      <c r="A135" t="s">
        <v>42</v>
      </c>
      <c r="B135" t="s">
        <v>20</v>
      </c>
      <c r="C135" t="s">
        <v>27</v>
      </c>
      <c r="D135" t="s">
        <v>341</v>
      </c>
      <c r="E135" t="s">
        <v>340</v>
      </c>
      <c r="F135" t="s">
        <v>38</v>
      </c>
      <c r="G135" t="s">
        <v>423</v>
      </c>
    </row>
    <row r="136" spans="1:7">
      <c r="A136" t="s">
        <v>44</v>
      </c>
      <c r="B136" t="s">
        <v>20</v>
      </c>
      <c r="C136" t="s">
        <v>27</v>
      </c>
      <c r="D136" t="s">
        <v>281</v>
      </c>
      <c r="E136" t="s">
        <v>342</v>
      </c>
      <c r="F136" t="s">
        <v>38</v>
      </c>
      <c r="G136" t="s">
        <v>213</v>
      </c>
    </row>
    <row r="137" spans="1:7">
      <c r="A137" t="s">
        <v>44</v>
      </c>
      <c r="B137" t="s">
        <v>20</v>
      </c>
      <c r="C137" t="s">
        <v>27</v>
      </c>
      <c r="D137" t="s">
        <v>344</v>
      </c>
      <c r="E137" t="s">
        <v>343</v>
      </c>
      <c r="F137" t="s">
        <v>38</v>
      </c>
      <c r="G137" t="s">
        <v>424</v>
      </c>
    </row>
    <row r="138" spans="1:7">
      <c r="A138" t="s">
        <v>44</v>
      </c>
      <c r="B138" t="s">
        <v>20</v>
      </c>
      <c r="C138" t="s">
        <v>27</v>
      </c>
      <c r="D138" t="s">
        <v>345</v>
      </c>
      <c r="E138" t="s">
        <v>90</v>
      </c>
      <c r="F138" t="s">
        <v>38</v>
      </c>
      <c r="G138" t="s">
        <v>425</v>
      </c>
    </row>
    <row r="139" spans="1:7">
      <c r="A139" t="s">
        <v>44</v>
      </c>
      <c r="B139" t="s">
        <v>20</v>
      </c>
      <c r="C139" t="s">
        <v>27</v>
      </c>
      <c r="D139" t="s">
        <v>346</v>
      </c>
      <c r="E139" t="s">
        <v>306</v>
      </c>
      <c r="F139" t="s">
        <v>38</v>
      </c>
      <c r="G139" t="s">
        <v>426</v>
      </c>
    </row>
    <row r="140" spans="1:7">
      <c r="A140" t="s">
        <v>44</v>
      </c>
      <c r="B140" t="s">
        <v>20</v>
      </c>
      <c r="C140" t="s">
        <v>27</v>
      </c>
      <c r="D140" t="s">
        <v>348</v>
      </c>
      <c r="E140" t="s">
        <v>347</v>
      </c>
      <c r="F140" t="s">
        <v>38</v>
      </c>
      <c r="G140" t="s">
        <v>427</v>
      </c>
    </row>
    <row r="141" spans="1:7">
      <c r="A141" t="s">
        <v>42</v>
      </c>
      <c r="B141" t="s">
        <v>20</v>
      </c>
      <c r="C141" t="s">
        <v>27</v>
      </c>
      <c r="D141" t="s">
        <v>350</v>
      </c>
      <c r="E141" t="s">
        <v>349</v>
      </c>
      <c r="F141" t="s">
        <v>38</v>
      </c>
      <c r="G141" t="s">
        <v>428</v>
      </c>
    </row>
    <row r="142" spans="1:7">
      <c r="A142" t="s">
        <v>42</v>
      </c>
      <c r="B142" t="s">
        <v>20</v>
      </c>
      <c r="C142" t="s">
        <v>27</v>
      </c>
      <c r="D142" t="s">
        <v>352</v>
      </c>
      <c r="E142" t="s">
        <v>351</v>
      </c>
      <c r="F142" t="s">
        <v>38</v>
      </c>
      <c r="G142" t="s">
        <v>429</v>
      </c>
    </row>
    <row r="143" spans="1:7">
      <c r="A143" t="s">
        <v>26</v>
      </c>
      <c r="B143" t="s">
        <v>20</v>
      </c>
      <c r="C143" t="s">
        <v>27</v>
      </c>
      <c r="D143" t="s">
        <v>127</v>
      </c>
      <c r="E143" t="s">
        <v>102</v>
      </c>
      <c r="F143" t="s">
        <v>38</v>
      </c>
      <c r="G143" t="s">
        <v>296</v>
      </c>
    </row>
    <row r="144" spans="1:7">
      <c r="A144" t="s">
        <v>26</v>
      </c>
      <c r="B144" t="s">
        <v>20</v>
      </c>
      <c r="C144" t="s">
        <v>27</v>
      </c>
      <c r="D144" t="s">
        <v>232</v>
      </c>
      <c r="E144" t="s">
        <v>94</v>
      </c>
      <c r="F144" t="s">
        <v>38</v>
      </c>
      <c r="G144" t="s">
        <v>233</v>
      </c>
    </row>
    <row r="145" spans="1:7">
      <c r="A145" t="s">
        <v>26</v>
      </c>
      <c r="B145" t="s">
        <v>20</v>
      </c>
      <c r="C145" t="s">
        <v>27</v>
      </c>
      <c r="D145" t="s">
        <v>123</v>
      </c>
      <c r="E145" t="s">
        <v>146</v>
      </c>
      <c r="F145" t="s">
        <v>38</v>
      </c>
      <c r="G145" t="s">
        <v>262</v>
      </c>
    </row>
    <row r="146" spans="1:7">
      <c r="A146" t="s">
        <v>26</v>
      </c>
      <c r="B146" t="s">
        <v>20</v>
      </c>
      <c r="C146" t="s">
        <v>27</v>
      </c>
      <c r="D146" t="s">
        <v>69</v>
      </c>
      <c r="E146" t="s">
        <v>105</v>
      </c>
      <c r="F146" t="s">
        <v>38</v>
      </c>
      <c r="G146" t="s">
        <v>45</v>
      </c>
    </row>
    <row r="147" spans="1:7">
      <c r="A147" t="s">
        <v>26</v>
      </c>
      <c r="B147" t="s">
        <v>20</v>
      </c>
      <c r="C147" t="s">
        <v>27</v>
      </c>
      <c r="D147" t="s">
        <v>119</v>
      </c>
      <c r="E147" t="s">
        <v>81</v>
      </c>
      <c r="F147" t="s">
        <v>38</v>
      </c>
      <c r="G147" t="s">
        <v>236</v>
      </c>
    </row>
    <row r="148" spans="1:7">
      <c r="A148" t="s">
        <v>26</v>
      </c>
      <c r="B148" t="s">
        <v>20</v>
      </c>
      <c r="C148" t="s">
        <v>27</v>
      </c>
      <c r="D148" t="s">
        <v>234</v>
      </c>
      <c r="E148" t="s">
        <v>164</v>
      </c>
      <c r="F148" t="s">
        <v>38</v>
      </c>
      <c r="G148" t="s">
        <v>235</v>
      </c>
    </row>
    <row r="149" spans="1:7">
      <c r="A149" t="s">
        <v>26</v>
      </c>
      <c r="B149" t="s">
        <v>20</v>
      </c>
      <c r="C149" t="s">
        <v>27</v>
      </c>
      <c r="D149" t="s">
        <v>92</v>
      </c>
      <c r="E149" t="s">
        <v>229</v>
      </c>
      <c r="F149" t="s">
        <v>38</v>
      </c>
      <c r="G149" t="s">
        <v>28</v>
      </c>
    </row>
    <row r="150" spans="1:7">
      <c r="A150" t="s">
        <v>26</v>
      </c>
      <c r="B150" t="s">
        <v>20</v>
      </c>
      <c r="C150" t="s">
        <v>27</v>
      </c>
      <c r="D150" t="s">
        <v>72</v>
      </c>
      <c r="E150" t="s">
        <v>143</v>
      </c>
      <c r="F150" t="s">
        <v>38</v>
      </c>
      <c r="G150" t="s">
        <v>298</v>
      </c>
    </row>
    <row r="151" spans="1:7">
      <c r="A151" t="s">
        <v>26</v>
      </c>
      <c r="B151" t="s">
        <v>20</v>
      </c>
      <c r="C151" t="s">
        <v>27</v>
      </c>
      <c r="D151" t="s">
        <v>303</v>
      </c>
      <c r="E151" t="s">
        <v>302</v>
      </c>
      <c r="F151" t="s">
        <v>38</v>
      </c>
      <c r="G151" t="s">
        <v>430</v>
      </c>
    </row>
    <row r="152" spans="1:7">
      <c r="A152" t="s">
        <v>26</v>
      </c>
      <c r="B152" t="s">
        <v>20</v>
      </c>
      <c r="C152" t="s">
        <v>27</v>
      </c>
      <c r="D152" t="s">
        <v>305</v>
      </c>
      <c r="E152" t="s">
        <v>125</v>
      </c>
      <c r="F152" t="s">
        <v>38</v>
      </c>
      <c r="G152" t="s">
        <v>431</v>
      </c>
    </row>
    <row r="153" spans="1:7">
      <c r="A153" t="s">
        <v>26</v>
      </c>
      <c r="B153" t="s">
        <v>20</v>
      </c>
      <c r="C153" t="s">
        <v>27</v>
      </c>
      <c r="D153" t="s">
        <v>73</v>
      </c>
      <c r="E153" t="s">
        <v>304</v>
      </c>
      <c r="F153" t="s">
        <v>38</v>
      </c>
      <c r="G153" t="s">
        <v>432</v>
      </c>
    </row>
    <row r="154" spans="1:7">
      <c r="A154" t="s">
        <v>353</v>
      </c>
      <c r="B154" t="s">
        <v>20</v>
      </c>
      <c r="C154" t="s">
        <v>27</v>
      </c>
      <c r="D154" t="s">
        <v>354</v>
      </c>
      <c r="E154" t="s">
        <v>197</v>
      </c>
      <c r="F154" t="s">
        <v>38</v>
      </c>
      <c r="G154" t="s">
        <v>433</v>
      </c>
    </row>
    <row r="155" spans="1:7">
      <c r="A155" t="s">
        <v>353</v>
      </c>
      <c r="B155" t="s">
        <v>20</v>
      </c>
      <c r="C155" t="s">
        <v>27</v>
      </c>
      <c r="D155" t="s">
        <v>355</v>
      </c>
      <c r="E155" t="s">
        <v>82</v>
      </c>
      <c r="F155" t="s">
        <v>38</v>
      </c>
      <c r="G155" t="s">
        <v>434</v>
      </c>
    </row>
    <row r="156" spans="1:7">
      <c r="A156" t="s">
        <v>353</v>
      </c>
      <c r="B156" t="s">
        <v>20</v>
      </c>
      <c r="C156" t="s">
        <v>27</v>
      </c>
      <c r="D156" t="s">
        <v>188</v>
      </c>
      <c r="E156" t="s">
        <v>190</v>
      </c>
      <c r="F156" t="s">
        <v>38</v>
      </c>
      <c r="G156" t="s">
        <v>189</v>
      </c>
    </row>
    <row r="157" spans="1:7">
      <c r="A157" t="s">
        <v>353</v>
      </c>
      <c r="B157" t="s">
        <v>20</v>
      </c>
      <c r="C157" t="s">
        <v>27</v>
      </c>
      <c r="D157" t="s">
        <v>199</v>
      </c>
      <c r="E157" t="s">
        <v>356</v>
      </c>
      <c r="F157" t="s">
        <v>38</v>
      </c>
      <c r="G157" t="s">
        <v>200</v>
      </c>
    </row>
    <row r="158" spans="1:7">
      <c r="A158" t="s">
        <v>353</v>
      </c>
      <c r="B158" t="s">
        <v>20</v>
      </c>
      <c r="C158" t="s">
        <v>27</v>
      </c>
      <c r="D158" t="s">
        <v>193</v>
      </c>
      <c r="E158" t="s">
        <v>357</v>
      </c>
      <c r="F158" t="s">
        <v>38</v>
      </c>
      <c r="G158" t="s">
        <v>194</v>
      </c>
    </row>
    <row r="159" spans="1:7">
      <c r="A159" t="s">
        <v>353</v>
      </c>
      <c r="B159" t="s">
        <v>20</v>
      </c>
      <c r="C159" t="s">
        <v>27</v>
      </c>
      <c r="D159" t="s">
        <v>359</v>
      </c>
      <c r="E159" t="s">
        <v>358</v>
      </c>
      <c r="F159" t="s">
        <v>38</v>
      </c>
      <c r="G159" t="s">
        <v>435</v>
      </c>
    </row>
    <row r="160" spans="1:7">
      <c r="A160" t="s">
        <v>47</v>
      </c>
      <c r="B160" t="s">
        <v>20</v>
      </c>
      <c r="C160" t="s">
        <v>27</v>
      </c>
      <c r="D160" t="s">
        <v>70</v>
      </c>
      <c r="E160" t="s">
        <v>245</v>
      </c>
      <c r="F160" t="s">
        <v>38</v>
      </c>
      <c r="G160" t="s">
        <v>46</v>
      </c>
    </row>
    <row r="161" spans="1:7">
      <c r="A161" t="s">
        <v>360</v>
      </c>
      <c r="B161" t="s">
        <v>20</v>
      </c>
      <c r="C161" t="s">
        <v>27</v>
      </c>
      <c r="D161" t="s">
        <v>362</v>
      </c>
      <c r="E161" t="s">
        <v>361</v>
      </c>
      <c r="F161" t="s">
        <v>38</v>
      </c>
      <c r="G161" t="s">
        <v>436</v>
      </c>
    </row>
    <row r="162" spans="1:7">
      <c r="A162" t="s">
        <v>270</v>
      </c>
      <c r="B162" t="s">
        <v>21</v>
      </c>
      <c r="C162" t="s">
        <v>27</v>
      </c>
      <c r="D162" t="s">
        <v>363</v>
      </c>
      <c r="E162" t="s">
        <v>116</v>
      </c>
      <c r="F162" t="s">
        <v>38</v>
      </c>
      <c r="G162" t="s">
        <v>437</v>
      </c>
    </row>
    <row r="163" spans="1:7">
      <c r="A163" t="s">
        <v>270</v>
      </c>
      <c r="B163" t="s">
        <v>21</v>
      </c>
      <c r="C163" t="s">
        <v>27</v>
      </c>
      <c r="D163" t="s">
        <v>121</v>
      </c>
      <c r="E163" t="s">
        <v>109</v>
      </c>
      <c r="F163" t="s">
        <v>38</v>
      </c>
      <c r="G163" t="s">
        <v>438</v>
      </c>
    </row>
    <row r="164" spans="1:7">
      <c r="A164" t="s">
        <v>270</v>
      </c>
      <c r="B164" t="s">
        <v>21</v>
      </c>
      <c r="C164" t="s">
        <v>27</v>
      </c>
      <c r="D164" t="s">
        <v>364</v>
      </c>
      <c r="E164" t="s">
        <v>147</v>
      </c>
      <c r="F164" t="s">
        <v>38</v>
      </c>
      <c r="G164" t="s">
        <v>439</v>
      </c>
    </row>
    <row r="165" spans="1:7">
      <c r="A165" t="s">
        <v>270</v>
      </c>
      <c r="B165" t="s">
        <v>21</v>
      </c>
      <c r="C165" t="s">
        <v>27</v>
      </c>
      <c r="D165" t="s">
        <v>366</v>
      </c>
      <c r="E165" t="s">
        <v>365</v>
      </c>
      <c r="F165" t="s">
        <v>38</v>
      </c>
      <c r="G165" t="s">
        <v>440</v>
      </c>
    </row>
    <row r="166" spans="1:7">
      <c r="A166" t="s">
        <v>270</v>
      </c>
      <c r="B166" t="s">
        <v>367</v>
      </c>
      <c r="C166" t="s">
        <v>27</v>
      </c>
      <c r="D166" t="s">
        <v>149</v>
      </c>
      <c r="E166" t="s">
        <v>148</v>
      </c>
      <c r="F166" t="s">
        <v>38</v>
      </c>
      <c r="G166" t="s">
        <v>271</v>
      </c>
    </row>
    <row r="167" spans="1:7">
      <c r="A167" t="s">
        <v>270</v>
      </c>
      <c r="B167" t="s">
        <v>367</v>
      </c>
      <c r="C167" t="s">
        <v>27</v>
      </c>
      <c r="D167" t="s">
        <v>113</v>
      </c>
      <c r="E167" t="s">
        <v>110</v>
      </c>
      <c r="F167" t="s">
        <v>38</v>
      </c>
      <c r="G167" t="s">
        <v>294</v>
      </c>
    </row>
    <row r="168" spans="1:7">
      <c r="A168" t="s">
        <v>37</v>
      </c>
      <c r="B168" t="s">
        <v>367</v>
      </c>
      <c r="C168" t="s">
        <v>27</v>
      </c>
      <c r="D168" t="s">
        <v>368</v>
      </c>
      <c r="E168" t="s">
        <v>284</v>
      </c>
      <c r="F168" t="s">
        <v>38</v>
      </c>
      <c r="G168" t="s">
        <v>441</v>
      </c>
    </row>
    <row r="169" spans="1:7">
      <c r="A169" t="s">
        <v>37</v>
      </c>
      <c r="B169" t="s">
        <v>367</v>
      </c>
      <c r="C169" t="s">
        <v>27</v>
      </c>
      <c r="D169" t="s">
        <v>99</v>
      </c>
      <c r="E169" t="s">
        <v>118</v>
      </c>
      <c r="F169" t="s">
        <v>38</v>
      </c>
      <c r="G169" t="s">
        <v>268</v>
      </c>
    </row>
    <row r="170" spans="1:7">
      <c r="A170" t="s">
        <v>37</v>
      </c>
      <c r="B170" t="s">
        <v>367</v>
      </c>
      <c r="C170" t="s">
        <v>27</v>
      </c>
      <c r="D170" t="s">
        <v>108</v>
      </c>
      <c r="E170" t="s">
        <v>66</v>
      </c>
      <c r="F170" t="s">
        <v>38</v>
      </c>
      <c r="G170" t="s">
        <v>174</v>
      </c>
    </row>
    <row r="171" spans="1:7">
      <c r="A171" t="s">
        <v>270</v>
      </c>
      <c r="B171" t="s">
        <v>367</v>
      </c>
      <c r="C171" t="s">
        <v>27</v>
      </c>
      <c r="D171" t="s">
        <v>149</v>
      </c>
      <c r="E171" t="s">
        <v>148</v>
      </c>
      <c r="F171" t="s">
        <v>38</v>
      </c>
      <c r="G171" t="s">
        <v>271</v>
      </c>
    </row>
    <row r="172" spans="1:7">
      <c r="A172" t="s">
        <v>49</v>
      </c>
      <c r="B172" t="s">
        <v>367</v>
      </c>
      <c r="C172" t="s">
        <v>27</v>
      </c>
      <c r="D172" t="s">
        <v>113</v>
      </c>
      <c r="E172" t="s">
        <v>110</v>
      </c>
      <c r="F172" t="s">
        <v>38</v>
      </c>
      <c r="G172" t="s">
        <v>294</v>
      </c>
    </row>
    <row r="173" spans="1:7">
      <c r="A173" t="s">
        <v>43</v>
      </c>
      <c r="B173" t="s">
        <v>367</v>
      </c>
      <c r="C173" t="s">
        <v>27</v>
      </c>
      <c r="D173" t="s">
        <v>86</v>
      </c>
      <c r="E173" t="s">
        <v>88</v>
      </c>
      <c r="F173" t="s">
        <v>38</v>
      </c>
      <c r="G173" t="s">
        <v>244</v>
      </c>
    </row>
    <row r="174" spans="1:7">
      <c r="A174" t="s">
        <v>43</v>
      </c>
      <c r="B174" t="s">
        <v>367</v>
      </c>
      <c r="C174" t="s">
        <v>27</v>
      </c>
      <c r="D174" t="s">
        <v>62</v>
      </c>
      <c r="E174" t="s">
        <v>51</v>
      </c>
      <c r="F174" t="s">
        <v>38</v>
      </c>
      <c r="G174" t="s">
        <v>243</v>
      </c>
    </row>
    <row r="175" spans="1:7">
      <c r="A175" t="s">
        <v>25</v>
      </c>
      <c r="B175" t="s">
        <v>367</v>
      </c>
      <c r="C175" t="s">
        <v>27</v>
      </c>
      <c r="D175" t="s">
        <v>61</v>
      </c>
      <c r="E175" t="s">
        <v>64</v>
      </c>
      <c r="F175" t="s">
        <v>38</v>
      </c>
      <c r="G175" t="s">
        <v>30</v>
      </c>
    </row>
    <row r="176" spans="1:7">
      <c r="A176" t="s">
        <v>25</v>
      </c>
      <c r="B176" t="s">
        <v>367</v>
      </c>
      <c r="C176" t="s">
        <v>27</v>
      </c>
      <c r="D176" t="s">
        <v>141</v>
      </c>
      <c r="E176" t="s">
        <v>165</v>
      </c>
      <c r="F176" t="s">
        <v>38</v>
      </c>
      <c r="G176" t="s">
        <v>299</v>
      </c>
    </row>
    <row r="177" spans="1:7">
      <c r="A177" t="s">
        <v>25</v>
      </c>
      <c r="B177" t="s">
        <v>367</v>
      </c>
      <c r="C177" t="s">
        <v>27</v>
      </c>
      <c r="D177" t="s">
        <v>370</v>
      </c>
      <c r="E177" t="s">
        <v>369</v>
      </c>
      <c r="F177" t="s">
        <v>38</v>
      </c>
      <c r="G177" t="s">
        <v>442</v>
      </c>
    </row>
    <row r="178" spans="1:7">
      <c r="A178" t="s">
        <v>49</v>
      </c>
      <c r="B178" t="s">
        <v>23</v>
      </c>
      <c r="C178" t="s">
        <v>27</v>
      </c>
      <c r="D178" t="s">
        <v>652</v>
      </c>
      <c r="E178" t="s">
        <v>63</v>
      </c>
      <c r="F178" t="s">
        <v>38</v>
      </c>
      <c r="G178" t="s">
        <v>292</v>
      </c>
    </row>
    <row r="179" spans="1:7">
      <c r="A179" t="s">
        <v>49</v>
      </c>
      <c r="B179" t="s">
        <v>23</v>
      </c>
      <c r="C179" t="s">
        <v>27</v>
      </c>
      <c r="D179" t="s">
        <v>84</v>
      </c>
      <c r="E179" t="s">
        <v>87</v>
      </c>
      <c r="F179" t="s">
        <v>38</v>
      </c>
      <c r="G179" t="s">
        <v>273</v>
      </c>
    </row>
    <row r="180" spans="1:7">
      <c r="A180" t="s">
        <v>49</v>
      </c>
      <c r="B180" t="s">
        <v>23</v>
      </c>
      <c r="C180" t="s">
        <v>27</v>
      </c>
      <c r="D180" t="s">
        <v>166</v>
      </c>
      <c r="E180" t="s">
        <v>103</v>
      </c>
      <c r="F180" t="s">
        <v>38</v>
      </c>
      <c r="G180" t="s">
        <v>293</v>
      </c>
    </row>
    <row r="181" spans="1:7">
      <c r="A181" t="s">
        <v>49</v>
      </c>
      <c r="B181" t="s">
        <v>23</v>
      </c>
      <c r="C181" t="s">
        <v>27</v>
      </c>
      <c r="D181" t="s">
        <v>371</v>
      </c>
      <c r="E181" t="s">
        <v>65</v>
      </c>
      <c r="F181" t="s">
        <v>38</v>
      </c>
      <c r="G181" t="s">
        <v>371</v>
      </c>
    </row>
    <row r="182" spans="1:7">
      <c r="A182" t="s">
        <v>49</v>
      </c>
      <c r="B182" t="s">
        <v>23</v>
      </c>
      <c r="C182" t="s">
        <v>27</v>
      </c>
      <c r="D182" t="s">
        <v>371</v>
      </c>
      <c r="E182" t="s">
        <v>120</v>
      </c>
      <c r="F182" t="s">
        <v>38</v>
      </c>
      <c r="G182" t="s">
        <v>371</v>
      </c>
    </row>
    <row r="183" spans="1:7">
      <c r="A183" t="s">
        <v>49</v>
      </c>
      <c r="B183" t="s">
        <v>23</v>
      </c>
      <c r="C183" t="s">
        <v>27</v>
      </c>
      <c r="D183" t="s">
        <v>371</v>
      </c>
      <c r="E183" t="s">
        <v>222</v>
      </c>
      <c r="F183" t="s">
        <v>38</v>
      </c>
      <c r="G183" t="s">
        <v>371</v>
      </c>
    </row>
    <row r="184" spans="1:7">
      <c r="A184" t="s">
        <v>49</v>
      </c>
      <c r="B184" t="s">
        <v>23</v>
      </c>
      <c r="C184" t="s">
        <v>27</v>
      </c>
      <c r="D184" t="s">
        <v>371</v>
      </c>
      <c r="E184" t="s">
        <v>372</v>
      </c>
      <c r="F184" t="s">
        <v>38</v>
      </c>
      <c r="G184" t="s">
        <v>371</v>
      </c>
    </row>
    <row r="185" spans="1:7">
      <c r="A185" t="s">
        <v>49</v>
      </c>
      <c r="B185" t="s">
        <v>23</v>
      </c>
      <c r="C185" t="s">
        <v>27</v>
      </c>
      <c r="D185" t="s">
        <v>371</v>
      </c>
      <c r="E185" t="s">
        <v>87</v>
      </c>
      <c r="F185" t="s">
        <v>38</v>
      </c>
      <c r="G185" t="s">
        <v>371</v>
      </c>
    </row>
    <row r="186" spans="1:7">
      <c r="A186" t="s">
        <v>49</v>
      </c>
      <c r="B186" t="s">
        <v>23</v>
      </c>
      <c r="C186" t="s">
        <v>27</v>
      </c>
      <c r="D186" t="s">
        <v>371</v>
      </c>
      <c r="E186" t="s">
        <v>67</v>
      </c>
      <c r="F186" t="s">
        <v>38</v>
      </c>
      <c r="G186" t="s">
        <v>371</v>
      </c>
    </row>
    <row r="187" spans="1:7">
      <c r="A187" t="s">
        <v>49</v>
      </c>
      <c r="B187" t="s">
        <v>23</v>
      </c>
      <c r="C187" t="s">
        <v>27</v>
      </c>
      <c r="D187" t="s">
        <v>371</v>
      </c>
      <c r="E187" t="s">
        <v>120</v>
      </c>
      <c r="F187" t="s">
        <v>38</v>
      </c>
      <c r="G187" t="s">
        <v>371</v>
      </c>
    </row>
    <row r="188" spans="1:7">
      <c r="A188" t="s">
        <v>49</v>
      </c>
      <c r="B188" t="s">
        <v>23</v>
      </c>
      <c r="C188" t="s">
        <v>27</v>
      </c>
      <c r="D188" t="s">
        <v>371</v>
      </c>
      <c r="E188" t="s">
        <v>117</v>
      </c>
      <c r="F188" t="s">
        <v>38</v>
      </c>
      <c r="G188" t="s">
        <v>371</v>
      </c>
    </row>
    <row r="189" spans="1:7">
      <c r="A189" t="s">
        <v>49</v>
      </c>
      <c r="B189" t="s">
        <v>23</v>
      </c>
      <c r="C189" t="s">
        <v>27</v>
      </c>
      <c r="D189" t="s">
        <v>371</v>
      </c>
      <c r="E189" t="s">
        <v>106</v>
      </c>
      <c r="F189" t="s">
        <v>38</v>
      </c>
      <c r="G189" t="s">
        <v>371</v>
      </c>
    </row>
    <row r="190" spans="1:7">
      <c r="A190" t="s">
        <v>49</v>
      </c>
      <c r="B190" t="s">
        <v>23</v>
      </c>
      <c r="C190" t="s">
        <v>27</v>
      </c>
      <c r="D190" t="s">
        <v>371</v>
      </c>
      <c r="E190" t="s">
        <v>101</v>
      </c>
      <c r="F190" t="s">
        <v>38</v>
      </c>
      <c r="G190" t="s">
        <v>371</v>
      </c>
    </row>
    <row r="191" spans="1:7">
      <c r="A191" t="s">
        <v>49</v>
      </c>
      <c r="B191" t="s">
        <v>23</v>
      </c>
      <c r="C191" t="s">
        <v>27</v>
      </c>
      <c r="D191" t="s">
        <v>631</v>
      </c>
      <c r="E191" t="s">
        <v>631</v>
      </c>
      <c r="F191" t="s">
        <v>38</v>
      </c>
      <c r="G191" t="s">
        <v>631</v>
      </c>
    </row>
    <row r="192" spans="1:7">
      <c r="A192" t="s">
        <v>25</v>
      </c>
      <c r="B192" t="s">
        <v>23</v>
      </c>
      <c r="C192" t="s">
        <v>27</v>
      </c>
      <c r="D192" t="s">
        <v>371</v>
      </c>
      <c r="E192" t="s">
        <v>142</v>
      </c>
      <c r="F192" t="s">
        <v>38</v>
      </c>
      <c r="G192" t="s">
        <v>371</v>
      </c>
    </row>
    <row r="193" spans="1:7">
      <c r="A193" t="s">
        <v>4</v>
      </c>
      <c r="B193" t="s">
        <v>23</v>
      </c>
      <c r="C193" t="s">
        <v>27</v>
      </c>
      <c r="D193" t="s">
        <v>371</v>
      </c>
      <c r="E193" t="s">
        <v>220</v>
      </c>
      <c r="F193" t="s">
        <v>38</v>
      </c>
      <c r="G193" t="s">
        <v>371</v>
      </c>
    </row>
    <row r="194" spans="1:7">
      <c r="A194" t="s">
        <v>4</v>
      </c>
      <c r="B194" t="s">
        <v>23</v>
      </c>
      <c r="C194" t="s">
        <v>27</v>
      </c>
      <c r="D194" t="s">
        <v>371</v>
      </c>
      <c r="E194" t="s">
        <v>217</v>
      </c>
      <c r="F194" t="s">
        <v>38</v>
      </c>
      <c r="G194" t="s">
        <v>371</v>
      </c>
    </row>
    <row r="195" spans="1:7">
      <c r="A195" t="s">
        <v>44</v>
      </c>
      <c r="B195" t="s">
        <v>20</v>
      </c>
      <c r="C195" t="s">
        <v>38</v>
      </c>
      <c r="D195" t="s">
        <v>279</v>
      </c>
      <c r="E195" t="s">
        <v>375</v>
      </c>
      <c r="F195" t="s">
        <v>27</v>
      </c>
      <c r="G195" t="s">
        <v>443</v>
      </c>
    </row>
    <row r="196" spans="1:7">
      <c r="A196" t="s">
        <v>44</v>
      </c>
      <c r="B196" t="s">
        <v>20</v>
      </c>
      <c r="C196" t="s">
        <v>27</v>
      </c>
      <c r="D196" t="s">
        <v>375</v>
      </c>
      <c r="E196" t="s">
        <v>279</v>
      </c>
      <c r="F196" t="s">
        <v>38</v>
      </c>
      <c r="G196" t="s">
        <v>444</v>
      </c>
    </row>
    <row r="197" spans="1:7">
      <c r="A197" t="s">
        <v>44</v>
      </c>
      <c r="B197" t="s">
        <v>20</v>
      </c>
      <c r="C197" t="s">
        <v>27</v>
      </c>
      <c r="D197" t="s">
        <v>445</v>
      </c>
      <c r="E197" t="s">
        <v>306</v>
      </c>
      <c r="F197" t="s">
        <v>38</v>
      </c>
      <c r="G197" t="s">
        <v>426</v>
      </c>
    </row>
    <row r="198" spans="1:7">
      <c r="A198" t="s">
        <v>446</v>
      </c>
      <c r="B198" t="s">
        <v>446</v>
      </c>
      <c r="C198" t="s">
        <v>446</v>
      </c>
      <c r="D198" t="s">
        <v>447</v>
      </c>
      <c r="E198" t="s">
        <v>446</v>
      </c>
      <c r="F198" t="s">
        <v>446</v>
      </c>
      <c r="G198" t="s">
        <v>448</v>
      </c>
    </row>
    <row r="199" spans="1:7">
      <c r="A199" t="s">
        <v>37</v>
      </c>
      <c r="B199" t="s">
        <v>367</v>
      </c>
      <c r="C199" t="s">
        <v>38</v>
      </c>
      <c r="D199" t="s">
        <v>449</v>
      </c>
      <c r="E199" t="s">
        <v>446</v>
      </c>
      <c r="F199" t="s">
        <v>446</v>
      </c>
      <c r="G199" t="s">
        <v>175</v>
      </c>
    </row>
    <row r="200" spans="1:7">
      <c r="A200" t="s">
        <v>37</v>
      </c>
      <c r="B200" t="s">
        <v>446</v>
      </c>
      <c r="C200" t="s">
        <v>446</v>
      </c>
      <c r="D200" t="s">
        <v>450</v>
      </c>
      <c r="E200" t="s">
        <v>446</v>
      </c>
      <c r="F200" t="s">
        <v>446</v>
      </c>
      <c r="G200" t="s">
        <v>268</v>
      </c>
    </row>
    <row r="201" spans="1:7">
      <c r="A201" t="s">
        <v>446</v>
      </c>
      <c r="B201" t="s">
        <v>446</v>
      </c>
      <c r="C201" t="s">
        <v>446</v>
      </c>
      <c r="D201" t="s">
        <v>451</v>
      </c>
      <c r="E201" t="s">
        <v>446</v>
      </c>
      <c r="F201" t="s">
        <v>446</v>
      </c>
      <c r="G201" t="s">
        <v>452</v>
      </c>
    </row>
    <row r="202" spans="1:7">
      <c r="A202" t="s">
        <v>446</v>
      </c>
      <c r="B202" t="s">
        <v>446</v>
      </c>
      <c r="C202" t="s">
        <v>446</v>
      </c>
      <c r="D202" t="s">
        <v>453</v>
      </c>
      <c r="E202" t="s">
        <v>446</v>
      </c>
      <c r="F202" t="s">
        <v>446</v>
      </c>
      <c r="G202" t="s">
        <v>454</v>
      </c>
    </row>
    <row r="203" spans="1:7">
      <c r="A203" t="s">
        <v>25</v>
      </c>
      <c r="B203" t="s">
        <v>446</v>
      </c>
      <c r="C203" t="s">
        <v>446</v>
      </c>
      <c r="D203" t="s">
        <v>455</v>
      </c>
      <c r="E203" t="s">
        <v>446</v>
      </c>
      <c r="F203" t="s">
        <v>446</v>
      </c>
      <c r="G203" t="s">
        <v>29</v>
      </c>
    </row>
    <row r="204" spans="1:7">
      <c r="A204" t="s">
        <v>25</v>
      </c>
      <c r="B204" t="s">
        <v>446</v>
      </c>
      <c r="C204" t="s">
        <v>446</v>
      </c>
      <c r="D204" t="s">
        <v>456</v>
      </c>
      <c r="E204" t="s">
        <v>446</v>
      </c>
      <c r="F204" t="s">
        <v>446</v>
      </c>
      <c r="G204" t="s">
        <v>30</v>
      </c>
    </row>
    <row r="205" spans="1:7">
      <c r="A205" t="s">
        <v>446</v>
      </c>
      <c r="B205" t="s">
        <v>446</v>
      </c>
      <c r="C205" t="s">
        <v>446</v>
      </c>
      <c r="D205" t="s">
        <v>457</v>
      </c>
      <c r="E205" t="s">
        <v>446</v>
      </c>
      <c r="F205" t="s">
        <v>446</v>
      </c>
      <c r="G205" t="s">
        <v>458</v>
      </c>
    </row>
    <row r="206" spans="1:7">
      <c r="A206" t="s">
        <v>446</v>
      </c>
      <c r="B206" t="s">
        <v>446</v>
      </c>
      <c r="C206" t="s">
        <v>446</v>
      </c>
      <c r="D206" t="s">
        <v>459</v>
      </c>
      <c r="E206" t="s">
        <v>446</v>
      </c>
      <c r="F206" t="s">
        <v>446</v>
      </c>
      <c r="G206" t="s">
        <v>460</v>
      </c>
    </row>
    <row r="207" spans="1:7">
      <c r="A207" t="s">
        <v>446</v>
      </c>
      <c r="B207" t="s">
        <v>446</v>
      </c>
      <c r="C207" t="s">
        <v>446</v>
      </c>
      <c r="D207" t="s">
        <v>461</v>
      </c>
      <c r="E207" t="s">
        <v>446</v>
      </c>
      <c r="F207" t="s">
        <v>446</v>
      </c>
      <c r="G207" t="s">
        <v>394</v>
      </c>
    </row>
    <row r="208" spans="1:7">
      <c r="A208" t="s">
        <v>446</v>
      </c>
      <c r="B208" t="s">
        <v>446</v>
      </c>
      <c r="C208" t="s">
        <v>446</v>
      </c>
      <c r="D208" t="s">
        <v>462</v>
      </c>
      <c r="E208" t="s">
        <v>446</v>
      </c>
      <c r="F208" t="s">
        <v>446</v>
      </c>
      <c r="G208" t="s">
        <v>463</v>
      </c>
    </row>
    <row r="209" spans="1:7">
      <c r="A209" t="s">
        <v>39</v>
      </c>
      <c r="B209" t="s">
        <v>446</v>
      </c>
      <c r="C209" t="s">
        <v>446</v>
      </c>
      <c r="D209" t="s">
        <v>464</v>
      </c>
      <c r="E209" t="s">
        <v>446</v>
      </c>
      <c r="F209" t="s">
        <v>446</v>
      </c>
      <c r="G209" t="s">
        <v>465</v>
      </c>
    </row>
    <row r="210" spans="1:7">
      <c r="A210" t="s">
        <v>39</v>
      </c>
      <c r="B210" t="s">
        <v>446</v>
      </c>
      <c r="C210" t="s">
        <v>446</v>
      </c>
      <c r="D210" t="s">
        <v>111</v>
      </c>
      <c r="E210" t="s">
        <v>446</v>
      </c>
      <c r="F210" t="s">
        <v>446</v>
      </c>
      <c r="G210" t="s">
        <v>201</v>
      </c>
    </row>
    <row r="211" spans="1:7">
      <c r="A211" t="s">
        <v>39</v>
      </c>
      <c r="B211" t="s">
        <v>446</v>
      </c>
      <c r="C211" t="s">
        <v>446</v>
      </c>
      <c r="D211" t="s">
        <v>466</v>
      </c>
      <c r="E211" t="s">
        <v>446</v>
      </c>
      <c r="F211" t="s">
        <v>446</v>
      </c>
      <c r="G211" t="s">
        <v>467</v>
      </c>
    </row>
    <row r="212" spans="1:7">
      <c r="A212" t="s">
        <v>39</v>
      </c>
      <c r="B212" t="s">
        <v>20</v>
      </c>
      <c r="D212" t="s">
        <v>266</v>
      </c>
      <c r="G212" t="s">
        <v>267</v>
      </c>
    </row>
    <row r="213" spans="1:7">
      <c r="A213" t="s">
        <v>446</v>
      </c>
      <c r="B213" t="s">
        <v>446</v>
      </c>
      <c r="D213" t="s">
        <v>468</v>
      </c>
      <c r="G213" t="s">
        <v>469</v>
      </c>
    </row>
    <row r="214" spans="1:7">
      <c r="A214" t="s">
        <v>43</v>
      </c>
      <c r="B214" t="s">
        <v>19</v>
      </c>
      <c r="D214" t="s">
        <v>470</v>
      </c>
      <c r="G214" t="s">
        <v>287</v>
      </c>
    </row>
    <row r="215" spans="1:7">
      <c r="A215" t="s">
        <v>43</v>
      </c>
      <c r="B215" t="s">
        <v>19</v>
      </c>
      <c r="D215" t="s">
        <v>471</v>
      </c>
      <c r="G215" t="s">
        <v>285</v>
      </c>
    </row>
    <row r="216" spans="1:7">
      <c r="A216" t="s">
        <v>49</v>
      </c>
      <c r="B216" t="s">
        <v>23</v>
      </c>
      <c r="D216" t="s">
        <v>472</v>
      </c>
      <c r="G216" t="s">
        <v>276</v>
      </c>
    </row>
    <row r="217" spans="1:7">
      <c r="A217" t="s">
        <v>42</v>
      </c>
      <c r="B217" t="s">
        <v>19</v>
      </c>
      <c r="D217" t="s">
        <v>473</v>
      </c>
      <c r="G217" t="s">
        <v>251</v>
      </c>
    </row>
    <row r="218" spans="1:7">
      <c r="A218" t="s">
        <v>446</v>
      </c>
      <c r="B218" t="s">
        <v>446</v>
      </c>
      <c r="D218" t="s">
        <v>474</v>
      </c>
      <c r="G218" t="s">
        <v>411</v>
      </c>
    </row>
    <row r="219" spans="1:7">
      <c r="A219" t="s">
        <v>49</v>
      </c>
      <c r="B219" t="s">
        <v>23</v>
      </c>
      <c r="D219" t="s">
        <v>475</v>
      </c>
      <c r="G219" t="s">
        <v>274</v>
      </c>
    </row>
    <row r="220" spans="1:7">
      <c r="A220" t="s">
        <v>270</v>
      </c>
      <c r="B220" t="s">
        <v>367</v>
      </c>
      <c r="D220" t="s">
        <v>476</v>
      </c>
      <c r="G220" t="s">
        <v>277</v>
      </c>
    </row>
    <row r="221" spans="1:7">
      <c r="A221" t="s">
        <v>446</v>
      </c>
      <c r="B221" t="s">
        <v>446</v>
      </c>
      <c r="D221" t="s">
        <v>477</v>
      </c>
      <c r="G221" t="s">
        <v>294</v>
      </c>
    </row>
    <row r="222" spans="1:7">
      <c r="A222" t="s">
        <v>42</v>
      </c>
      <c r="B222" t="s">
        <v>19</v>
      </c>
      <c r="D222" t="s">
        <v>478</v>
      </c>
      <c r="G222" t="s">
        <v>181</v>
      </c>
    </row>
    <row r="223" spans="1:7">
      <c r="A223" t="s">
        <v>44</v>
      </c>
      <c r="B223" t="s">
        <v>20</v>
      </c>
      <c r="D223" t="s">
        <v>78</v>
      </c>
      <c r="G223" t="s">
        <v>210</v>
      </c>
    </row>
    <row r="224" spans="1:7">
      <c r="A224" t="s">
        <v>44</v>
      </c>
      <c r="B224" t="s">
        <v>20</v>
      </c>
      <c r="D224" t="s">
        <v>212</v>
      </c>
      <c r="G224" t="s">
        <v>213</v>
      </c>
    </row>
    <row r="225" spans="1:7">
      <c r="A225" t="s">
        <v>42</v>
      </c>
      <c r="B225" t="s">
        <v>19</v>
      </c>
      <c r="D225" t="s">
        <v>479</v>
      </c>
      <c r="G225" t="s">
        <v>185</v>
      </c>
    </row>
    <row r="226" spans="1:7">
      <c r="A226" t="s">
        <v>49</v>
      </c>
      <c r="B226" t="s">
        <v>23</v>
      </c>
      <c r="D226" t="s">
        <v>480</v>
      </c>
      <c r="G226" t="s">
        <v>224</v>
      </c>
    </row>
    <row r="227" spans="1:7">
      <c r="A227" t="s">
        <v>49</v>
      </c>
      <c r="B227" t="s">
        <v>23</v>
      </c>
      <c r="D227" t="s">
        <v>481</v>
      </c>
      <c r="G227" t="s">
        <v>225</v>
      </c>
    </row>
    <row r="228" spans="1:7">
      <c r="A228" t="s">
        <v>42</v>
      </c>
      <c r="B228" t="s">
        <v>19</v>
      </c>
      <c r="D228" t="s">
        <v>182</v>
      </c>
      <c r="G228" t="s">
        <v>183</v>
      </c>
    </row>
    <row r="229" spans="1:7">
      <c r="A229" t="s">
        <v>42</v>
      </c>
      <c r="B229" t="s">
        <v>19</v>
      </c>
      <c r="D229" t="s">
        <v>252</v>
      </c>
      <c r="G229" t="s">
        <v>253</v>
      </c>
    </row>
    <row r="230" spans="1:7">
      <c r="A230" t="s">
        <v>270</v>
      </c>
      <c r="B230" t="s">
        <v>22</v>
      </c>
      <c r="D230" t="s">
        <v>85</v>
      </c>
      <c r="G230" t="s">
        <v>271</v>
      </c>
    </row>
    <row r="231" spans="1:7">
      <c r="A231" t="s">
        <v>446</v>
      </c>
      <c r="B231" t="s">
        <v>446</v>
      </c>
      <c r="D231" t="s">
        <v>482</v>
      </c>
      <c r="G231" t="s">
        <v>439</v>
      </c>
    </row>
    <row r="232" spans="1:7">
      <c r="A232" t="s">
        <v>446</v>
      </c>
      <c r="B232" t="s">
        <v>446</v>
      </c>
      <c r="D232" t="s">
        <v>483</v>
      </c>
      <c r="G232" t="s">
        <v>403</v>
      </c>
    </row>
    <row r="233" spans="1:7">
      <c r="A233" t="s">
        <v>49</v>
      </c>
      <c r="B233" t="s">
        <v>23</v>
      </c>
      <c r="D233" t="s">
        <v>484</v>
      </c>
      <c r="G233" t="s">
        <v>226</v>
      </c>
    </row>
    <row r="234" spans="1:7">
      <c r="A234" t="s">
        <v>49</v>
      </c>
      <c r="B234" t="s">
        <v>23</v>
      </c>
      <c r="C234" t="s">
        <v>63</v>
      </c>
      <c r="D234" t="s">
        <v>38</v>
      </c>
      <c r="E234" t="s">
        <v>27</v>
      </c>
      <c r="F234" t="s">
        <v>283</v>
      </c>
      <c r="G234" s="124" t="s">
        <v>272</v>
      </c>
    </row>
    <row r="235" spans="1:7">
      <c r="A235" t="s">
        <v>49</v>
      </c>
      <c r="B235" t="s">
        <v>23</v>
      </c>
      <c r="D235" t="s">
        <v>486</v>
      </c>
      <c r="G235" t="s">
        <v>273</v>
      </c>
    </row>
    <row r="236" spans="1:7">
      <c r="A236" t="s">
        <v>270</v>
      </c>
      <c r="B236" t="s">
        <v>22</v>
      </c>
      <c r="D236" t="s">
        <v>93</v>
      </c>
      <c r="G236" t="s">
        <v>269</v>
      </c>
    </row>
    <row r="237" spans="1:7">
      <c r="A237" t="s">
        <v>49</v>
      </c>
      <c r="B237" t="s">
        <v>23</v>
      </c>
      <c r="D237" t="s">
        <v>487</v>
      </c>
      <c r="G237" t="s">
        <v>227</v>
      </c>
    </row>
    <row r="238" spans="1:7">
      <c r="A238" t="s">
        <v>49</v>
      </c>
      <c r="B238" t="s">
        <v>23</v>
      </c>
      <c r="D238" t="s">
        <v>488</v>
      </c>
      <c r="G238" t="s">
        <v>272</v>
      </c>
    </row>
    <row r="239" spans="1:7">
      <c r="A239" t="s">
        <v>446</v>
      </c>
      <c r="B239" t="s">
        <v>446</v>
      </c>
      <c r="D239" t="s">
        <v>489</v>
      </c>
      <c r="G239" t="s">
        <v>490</v>
      </c>
    </row>
    <row r="240" spans="1:7">
      <c r="A240" t="s">
        <v>446</v>
      </c>
      <c r="B240" t="s">
        <v>446</v>
      </c>
      <c r="D240" t="s">
        <v>83</v>
      </c>
      <c r="G240" t="s">
        <v>290</v>
      </c>
    </row>
    <row r="241" spans="1:7">
      <c r="A241" t="s">
        <v>446</v>
      </c>
      <c r="B241" t="s">
        <v>446</v>
      </c>
      <c r="D241" t="s">
        <v>491</v>
      </c>
      <c r="G241" t="s">
        <v>492</v>
      </c>
    </row>
    <row r="242" spans="1:7">
      <c r="A242" t="s">
        <v>446</v>
      </c>
      <c r="B242" t="s">
        <v>446</v>
      </c>
      <c r="D242" t="s">
        <v>282</v>
      </c>
      <c r="G242" t="s">
        <v>291</v>
      </c>
    </row>
    <row r="243" spans="1:7">
      <c r="A243" t="s">
        <v>446</v>
      </c>
      <c r="B243" t="s">
        <v>446</v>
      </c>
      <c r="D243" t="s">
        <v>493</v>
      </c>
      <c r="G243" t="s">
        <v>494</v>
      </c>
    </row>
    <row r="244" spans="1:7">
      <c r="A244" t="s">
        <v>446</v>
      </c>
      <c r="B244" t="s">
        <v>446</v>
      </c>
      <c r="D244" t="s">
        <v>495</v>
      </c>
      <c r="G244" t="s">
        <v>496</v>
      </c>
    </row>
    <row r="245" spans="1:7">
      <c r="A245" t="s">
        <v>44</v>
      </c>
      <c r="B245" t="s">
        <v>20</v>
      </c>
      <c r="C245" t="s">
        <v>38</v>
      </c>
      <c r="D245" t="s">
        <v>497</v>
      </c>
      <c r="E245" t="s">
        <v>498</v>
      </c>
      <c r="F245" t="s">
        <v>27</v>
      </c>
      <c r="G245" t="s">
        <v>392</v>
      </c>
    </row>
    <row r="246" spans="1:7">
      <c r="A246" t="s">
        <v>44</v>
      </c>
      <c r="B246" t="s">
        <v>20</v>
      </c>
      <c r="C246" t="s">
        <v>27</v>
      </c>
      <c r="D246" t="s">
        <v>498</v>
      </c>
      <c r="E246" t="s">
        <v>497</v>
      </c>
      <c r="F246" t="s">
        <v>38</v>
      </c>
      <c r="G246" t="s">
        <v>427</v>
      </c>
    </row>
    <row r="247" spans="1:7">
      <c r="A247" t="s">
        <v>25</v>
      </c>
      <c r="B247" t="s">
        <v>19</v>
      </c>
      <c r="C247" t="s">
        <v>38</v>
      </c>
      <c r="D247" t="s">
        <v>499</v>
      </c>
      <c r="E247" t="s">
        <v>500</v>
      </c>
      <c r="F247" t="s">
        <v>27</v>
      </c>
      <c r="G247" t="s">
        <v>501</v>
      </c>
    </row>
    <row r="248" spans="1:7">
      <c r="A248" t="s">
        <v>25</v>
      </c>
      <c r="B248" t="s">
        <v>19</v>
      </c>
      <c r="C248" t="s">
        <v>27</v>
      </c>
      <c r="D248" t="s">
        <v>500</v>
      </c>
      <c r="E248" t="s">
        <v>499</v>
      </c>
      <c r="F248" t="s">
        <v>38</v>
      </c>
      <c r="G248" t="s">
        <v>502</v>
      </c>
    </row>
    <row r="249" spans="1:7">
      <c r="A249" t="s">
        <v>25</v>
      </c>
      <c r="B249" t="s">
        <v>20</v>
      </c>
      <c r="C249" t="s">
        <v>27</v>
      </c>
      <c r="D249" t="s">
        <v>633</v>
      </c>
      <c r="E249" t="s">
        <v>632</v>
      </c>
      <c r="F249" t="s">
        <v>38</v>
      </c>
      <c r="G249" t="s">
        <v>634</v>
      </c>
    </row>
    <row r="250" spans="1:7">
      <c r="A250" t="s">
        <v>25</v>
      </c>
      <c r="B250" t="s">
        <v>20</v>
      </c>
      <c r="C250" t="s">
        <v>38</v>
      </c>
      <c r="D250" t="s">
        <v>632</v>
      </c>
      <c r="E250" t="s">
        <v>633</v>
      </c>
      <c r="F250" t="s">
        <v>27</v>
      </c>
      <c r="G250" t="s">
        <v>635</v>
      </c>
    </row>
    <row r="251" spans="1:7">
      <c r="A251" t="s">
        <v>25</v>
      </c>
      <c r="B251" t="s">
        <v>367</v>
      </c>
      <c r="C251" t="s">
        <v>38</v>
      </c>
      <c r="D251" t="s">
        <v>638</v>
      </c>
      <c r="E251" t="s">
        <v>639</v>
      </c>
      <c r="F251" t="s">
        <v>27</v>
      </c>
      <c r="G251" t="s">
        <v>640</v>
      </c>
    </row>
    <row r="252" spans="1:7">
      <c r="A252" t="s">
        <v>25</v>
      </c>
      <c r="B252" t="s">
        <v>367</v>
      </c>
      <c r="C252" t="s">
        <v>27</v>
      </c>
      <c r="D252" t="s">
        <v>639</v>
      </c>
      <c r="E252" t="s">
        <v>638</v>
      </c>
      <c r="F252" t="s">
        <v>38</v>
      </c>
      <c r="G252" t="s">
        <v>643</v>
      </c>
    </row>
    <row r="253" spans="1:7">
      <c r="A253" t="s">
        <v>25</v>
      </c>
      <c r="B253" t="s">
        <v>367</v>
      </c>
      <c r="C253" t="s">
        <v>38</v>
      </c>
      <c r="D253" t="s">
        <v>641</v>
      </c>
      <c r="E253" t="s">
        <v>73</v>
      </c>
      <c r="F253" t="s">
        <v>27</v>
      </c>
      <c r="G253" t="s">
        <v>432</v>
      </c>
    </row>
    <row r="254" spans="1:7">
      <c r="A254" t="s">
        <v>25</v>
      </c>
      <c r="B254" t="s">
        <v>367</v>
      </c>
      <c r="C254" t="s">
        <v>27</v>
      </c>
      <c r="D254" t="s">
        <v>73</v>
      </c>
      <c r="E254" t="s">
        <v>641</v>
      </c>
      <c r="F254" t="s">
        <v>38</v>
      </c>
      <c r="G254" t="s">
        <v>642</v>
      </c>
    </row>
    <row r="255" spans="1:7">
      <c r="A255" t="s">
        <v>353</v>
      </c>
      <c r="B255" t="s">
        <v>20</v>
      </c>
      <c r="C255" t="s">
        <v>27</v>
      </c>
      <c r="D255" t="s">
        <v>644</v>
      </c>
      <c r="F255" t="s">
        <v>38</v>
      </c>
      <c r="G255" s="124" t="s">
        <v>189</v>
      </c>
    </row>
    <row r="256" spans="1:7">
      <c r="A256" t="s">
        <v>25</v>
      </c>
      <c r="B256" t="s">
        <v>367</v>
      </c>
      <c r="C256" t="s">
        <v>27</v>
      </c>
      <c r="D256" t="s">
        <v>1713</v>
      </c>
      <c r="E256" t="s">
        <v>1705</v>
      </c>
      <c r="F256" t="s">
        <v>38</v>
      </c>
      <c r="G256" t="s">
        <v>1711</v>
      </c>
    </row>
    <row r="257" spans="1:7">
      <c r="A257" t="s">
        <v>25</v>
      </c>
      <c r="B257" t="s">
        <v>367</v>
      </c>
      <c r="C257" t="s">
        <v>38</v>
      </c>
      <c r="D257" t="s">
        <v>1705</v>
      </c>
      <c r="E257" t="s">
        <v>1713</v>
      </c>
      <c r="F257" t="s">
        <v>27</v>
      </c>
      <c r="G257" t="s">
        <v>1712</v>
      </c>
    </row>
  </sheetData>
  <autoFilter ref="A1:J255" xr:uid="{BE0081FC-059D-4BFB-9393-B0007AFEBD44}"/>
  <mergeCells count="1">
    <mergeCell ref="I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8BD-FA1F-4610-9C05-18CE19C94B57}">
  <sheetPr codeName="Sheet7"/>
  <dimension ref="A1:F14"/>
  <sheetViews>
    <sheetView workbookViewId="0">
      <selection activeCell="J35" sqref="J35"/>
    </sheetView>
  </sheetViews>
  <sheetFormatPr defaultRowHeight="15"/>
  <cols>
    <col min="1" max="1" width="12.28515625" bestFit="1" customWidth="1"/>
    <col min="2" max="2" width="6.85546875" bestFit="1" customWidth="1"/>
    <col min="3" max="3" width="4.85546875" bestFit="1" customWidth="1"/>
    <col min="4" max="4" width="12.5703125" bestFit="1" customWidth="1"/>
  </cols>
  <sheetData>
    <row r="1" spans="1:6">
      <c r="D1" t="s">
        <v>646</v>
      </c>
      <c r="F1" t="s">
        <v>647</v>
      </c>
    </row>
    <row r="2" spans="1:6">
      <c r="A2" t="s">
        <v>508</v>
      </c>
      <c r="B2" t="s">
        <v>509</v>
      </c>
      <c r="C2" t="s">
        <v>10</v>
      </c>
      <c r="D2">
        <v>1</v>
      </c>
      <c r="F2">
        <v>1</v>
      </c>
    </row>
    <row r="3" spans="1:6">
      <c r="C3" t="s">
        <v>16</v>
      </c>
      <c r="D3" s="123">
        <v>1.3758602435150873</v>
      </c>
      <c r="F3" t="s">
        <v>648</v>
      </c>
    </row>
    <row r="4" spans="1:6">
      <c r="D4" s="123"/>
    </row>
    <row r="5" spans="1:6">
      <c r="A5" t="s">
        <v>510</v>
      </c>
      <c r="B5" t="s">
        <v>511</v>
      </c>
      <c r="C5" t="s">
        <v>10</v>
      </c>
      <c r="D5" s="123">
        <v>0.15691540910978818</v>
      </c>
      <c r="F5" t="s">
        <v>649</v>
      </c>
    </row>
    <row r="6" spans="1:6">
      <c r="C6" t="s">
        <v>16</v>
      </c>
      <c r="D6" s="123">
        <v>0.2158936729890627</v>
      </c>
      <c r="F6" t="s">
        <v>650</v>
      </c>
    </row>
    <row r="7" spans="1:6">
      <c r="D7" s="123"/>
    </row>
    <row r="8" spans="1:6">
      <c r="A8" t="s">
        <v>512</v>
      </c>
      <c r="B8" t="s">
        <v>513</v>
      </c>
      <c r="C8" t="s">
        <v>10</v>
      </c>
      <c r="D8" s="123">
        <v>1.1334</v>
      </c>
      <c r="F8">
        <v>1.0649</v>
      </c>
    </row>
    <row r="9" spans="1:6">
      <c r="C9" t="s">
        <v>16</v>
      </c>
      <c r="D9" s="123">
        <v>1.5593999999999999</v>
      </c>
      <c r="F9">
        <v>1.5859000000000001</v>
      </c>
    </row>
    <row r="10" spans="1:6">
      <c r="D10" s="123"/>
    </row>
    <row r="11" spans="1:6">
      <c r="A11" t="s">
        <v>514</v>
      </c>
      <c r="B11" t="s">
        <v>515</v>
      </c>
      <c r="C11" t="s">
        <v>10</v>
      </c>
      <c r="D11" s="123">
        <v>1.3504110568330752</v>
      </c>
      <c r="F11">
        <v>1.2026109837491106</v>
      </c>
    </row>
    <row r="12" spans="1:6">
      <c r="C12" t="s">
        <v>16</v>
      </c>
      <c r="D12" s="123">
        <v>1.8579768854998211</v>
      </c>
      <c r="F12">
        <v>1.7909857818834771</v>
      </c>
    </row>
    <row r="13" spans="1:6">
      <c r="D13" s="123"/>
    </row>
    <row r="14" spans="1:6">
      <c r="B14" t="s">
        <v>15</v>
      </c>
      <c r="C14" t="s">
        <v>10</v>
      </c>
      <c r="D14" s="123">
        <v>8.6890524379024843E-3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 - Margins</vt:lpstr>
      <vt:lpstr>Input - Bookings</vt:lpstr>
      <vt:lpstr>Currency &amp; Conversion</vt:lpstr>
      <vt:lpstr>AU Freight</vt:lpstr>
      <vt:lpstr>Warranty</vt:lpstr>
      <vt:lpstr>Australia Plants</vt:lpstr>
      <vt:lpstr>AP Plants</vt:lpstr>
      <vt:lpstr>AOP 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2023-11-03T07:09:16Z</dcterms:modified>
</cp:coreProperties>
</file>