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CaseStudy_Hydrogen\"/>
    </mc:Choice>
  </mc:AlternateContent>
  <xr:revisionPtr revIDLastSave="0" documentId="13_ncr:1_{C9EAF6E8-9184-42A7-A42D-3232162ADDD8}" xr6:coauthVersionLast="47" xr6:coauthVersionMax="47" xr10:uidLastSave="{00000000-0000-0000-0000-000000000000}"/>
  <bookViews>
    <workbookView xWindow="-120" yWindow="-16320" windowWidth="29040" windowHeight="15840" firstSheet="1" activeTab="1" xr2:uid="{E4844C43-5B64-40E1-AE18-3E66750BCBDE}"/>
  </bookViews>
  <sheets>
    <sheet name="Initial demand info" sheetId="15" r:id="rId1"/>
    <sheet name="Basecase" sheetId="16" r:id="rId2"/>
    <sheet name="PNIEC+GreenDeal+BioRef" sheetId="4" state="hidden" r:id="rId3"/>
    <sheet name="PNIEC+GreenDeal non use" sheetId="8" r:id="rId4"/>
    <sheet name="PNIEC + GreenDeal + BAN non use" sheetId="10" r:id="rId5"/>
    <sheet name="PNIEC+GreenDeal+BAN+H2 LS" sheetId="6" r:id="rId6"/>
    <sheet name="PNIEC+GreenDeal+BAN+H2 AS" sheetId="5" r:id="rId7"/>
    <sheet name="PNIEC+GreenDeal+BAN+H2  HS" sheetId="7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O27" i="7" l="1"/>
  <c r="CP27" i="7"/>
  <c r="CQ27" i="7"/>
  <c r="CR27" i="7"/>
  <c r="CS27" i="7"/>
  <c r="CO28" i="7"/>
  <c r="CP28" i="7"/>
  <c r="CQ28" i="7"/>
  <c r="CR28" i="7"/>
  <c r="CS28" i="7"/>
  <c r="CO29" i="7"/>
  <c r="CP29" i="7"/>
  <c r="CQ29" i="7"/>
  <c r="CR29" i="7"/>
  <c r="CS29" i="7"/>
  <c r="CO30" i="7"/>
  <c r="CP30" i="7"/>
  <c r="CQ30" i="7"/>
  <c r="CR30" i="7"/>
  <c r="CS30" i="7"/>
  <c r="CO31" i="7"/>
  <c r="CP31" i="7"/>
  <c r="CQ31" i="7"/>
  <c r="CR31" i="7"/>
  <c r="CS31" i="7"/>
  <c r="CO27" i="5"/>
  <c r="CP27" i="5"/>
  <c r="CQ27" i="5"/>
  <c r="CR27" i="5"/>
  <c r="CS27" i="5"/>
  <c r="CO28" i="5"/>
  <c r="CP28" i="5"/>
  <c r="CQ28" i="5"/>
  <c r="CR28" i="5"/>
  <c r="CS28" i="5"/>
  <c r="CO29" i="5"/>
  <c r="CP29" i="5"/>
  <c r="CQ29" i="5"/>
  <c r="CR29" i="5"/>
  <c r="CS29" i="5"/>
  <c r="CO30" i="5"/>
  <c r="CP30" i="5"/>
  <c r="CQ30" i="5"/>
  <c r="CR30" i="5"/>
  <c r="CS30" i="5"/>
  <c r="CO31" i="5"/>
  <c r="CP31" i="5"/>
  <c r="CQ31" i="5"/>
  <c r="CR31" i="5"/>
  <c r="CS31" i="5"/>
  <c r="CN31" i="6"/>
  <c r="CO31" i="6"/>
  <c r="CP31" i="6"/>
  <c r="CQ31" i="6"/>
  <c r="CR31" i="6"/>
  <c r="CN30" i="6"/>
  <c r="CO30" i="6"/>
  <c r="CP30" i="6"/>
  <c r="CQ30" i="6"/>
  <c r="CR30" i="6"/>
  <c r="CN29" i="6"/>
  <c r="CO29" i="6"/>
  <c r="CP29" i="6"/>
  <c r="CQ29" i="6"/>
  <c r="CR29" i="6"/>
  <c r="CN28" i="6"/>
  <c r="CO28" i="6"/>
  <c r="CP28" i="6"/>
  <c r="CQ28" i="6"/>
  <c r="CR28" i="6"/>
  <c r="CN27" i="6"/>
  <c r="CO27" i="6"/>
  <c r="CP27" i="6"/>
  <c r="CQ27" i="6"/>
  <c r="CR27" i="6"/>
  <c r="CM27" i="6"/>
  <c r="AF74" i="5"/>
  <c r="AE74" i="5"/>
  <c r="AD74" i="5"/>
  <c r="AC74" i="5"/>
  <c r="AB74" i="5"/>
  <c r="AA74" i="5"/>
  <c r="AF73" i="5"/>
  <c r="AE73" i="5"/>
  <c r="AD73" i="5"/>
  <c r="AC73" i="5"/>
  <c r="AB73" i="5"/>
  <c r="AA73" i="5"/>
  <c r="AF72" i="5"/>
  <c r="AE72" i="5"/>
  <c r="AD72" i="5"/>
  <c r="AC72" i="5"/>
  <c r="AB72" i="5"/>
  <c r="AA72" i="5"/>
  <c r="AF70" i="5"/>
  <c r="AE70" i="5"/>
  <c r="AD70" i="5"/>
  <c r="AC70" i="5"/>
  <c r="AB70" i="5"/>
  <c r="AA70" i="5"/>
  <c r="AB70" i="7"/>
  <c r="AC70" i="7"/>
  <c r="AD70" i="7"/>
  <c r="AE70" i="7"/>
  <c r="AF70" i="7"/>
  <c r="AB72" i="7"/>
  <c r="AC72" i="7"/>
  <c r="AD72" i="7"/>
  <c r="AE72" i="7"/>
  <c r="AF72" i="7"/>
  <c r="AB73" i="7"/>
  <c r="AC73" i="7"/>
  <c r="AD73" i="7"/>
  <c r="AE73" i="7"/>
  <c r="AF73" i="7"/>
  <c r="AB74" i="7"/>
  <c r="AC74" i="7"/>
  <c r="AD74" i="7"/>
  <c r="AE74" i="7"/>
  <c r="AF74" i="7"/>
  <c r="B75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B71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99" i="5"/>
  <c r="A100" i="5" s="1"/>
  <c r="A101" i="5" s="1"/>
  <c r="A102" i="5" s="1"/>
  <c r="A103" i="5" s="1"/>
  <c r="A104" i="5" s="1"/>
  <c r="A105" i="5" s="1"/>
  <c r="A106" i="5" s="1"/>
  <c r="A107" i="5" s="1"/>
  <c r="A108" i="5" s="1"/>
  <c r="Q70" i="5"/>
  <c r="V70" i="5"/>
  <c r="B70" i="5"/>
  <c r="Q45" i="7"/>
  <c r="Q29" i="7"/>
  <c r="AF23" i="7"/>
  <c r="AF39" i="7" s="1"/>
  <c r="AA23" i="7"/>
  <c r="V23" i="7"/>
  <c r="W23" i="7" s="1"/>
  <c r="W29" i="7" s="1"/>
  <c r="Q23" i="7"/>
  <c r="AV43" i="7" s="1"/>
  <c r="L23" i="7"/>
  <c r="M23" i="7" s="1"/>
  <c r="M29" i="7" s="1"/>
  <c r="G23" i="7"/>
  <c r="G29" i="7" s="1"/>
  <c r="B23" i="7"/>
  <c r="AG45" i="7" s="1"/>
  <c r="AA25" i="7"/>
  <c r="AA27" i="7" s="1"/>
  <c r="V25" i="7"/>
  <c r="V27" i="7" s="1"/>
  <c r="L25" i="7"/>
  <c r="B47" i="7"/>
  <c r="B39" i="7"/>
  <c r="L35" i="7"/>
  <c r="L37" i="7" s="1"/>
  <c r="AQ37" i="7" s="1"/>
  <c r="B35" i="7"/>
  <c r="B37" i="7" s="1"/>
  <c r="B29" i="7"/>
  <c r="B33" i="7" s="1"/>
  <c r="B25" i="7"/>
  <c r="AG25" i="7" s="1"/>
  <c r="L39" i="7"/>
  <c r="L43" i="7" s="1"/>
  <c r="AQ43" i="7" s="1"/>
  <c r="G45" i="7"/>
  <c r="B66" i="7"/>
  <c r="B65" i="7"/>
  <c r="AG65" i="7" s="1"/>
  <c r="B64" i="7"/>
  <c r="B63" i="7"/>
  <c r="AG61" i="7"/>
  <c r="AF61" i="7"/>
  <c r="AA61" i="7"/>
  <c r="V61" i="7"/>
  <c r="Q61" i="7"/>
  <c r="AG60" i="7"/>
  <c r="AF60" i="7"/>
  <c r="AA60" i="7"/>
  <c r="V60" i="7"/>
  <c r="R60" i="7"/>
  <c r="Q60" i="7"/>
  <c r="AG59" i="7"/>
  <c r="AF59" i="7"/>
  <c r="AA59" i="7"/>
  <c r="V59" i="7"/>
  <c r="Q59" i="7"/>
  <c r="AG58" i="7"/>
  <c r="AF58" i="7"/>
  <c r="AA58" i="7"/>
  <c r="V58" i="7"/>
  <c r="Q58" i="7"/>
  <c r="AG57" i="7"/>
  <c r="AF57" i="7"/>
  <c r="AA57" i="7"/>
  <c r="V57" i="7"/>
  <c r="Q57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G56" i="7"/>
  <c r="AB56" i="7"/>
  <c r="AB59" i="7" s="1"/>
  <c r="W56" i="7"/>
  <c r="R56" i="7"/>
  <c r="R57" i="7" s="1"/>
  <c r="L56" i="7"/>
  <c r="G56" i="7"/>
  <c r="G61" i="7" s="1"/>
  <c r="C61" i="7" s="1"/>
  <c r="B54" i="7"/>
  <c r="B53" i="7"/>
  <c r="B52" i="7"/>
  <c r="B51" i="7"/>
  <c r="B50" i="7"/>
  <c r="B49" i="7"/>
  <c r="B21" i="7"/>
  <c r="B20" i="7"/>
  <c r="B19" i="7"/>
  <c r="B18" i="7"/>
  <c r="AG18" i="7" s="1"/>
  <c r="B17" i="7"/>
  <c r="B16" i="7"/>
  <c r="AF15" i="7"/>
  <c r="AF20" i="7" s="1"/>
  <c r="AA15" i="7"/>
  <c r="AA21" i="7" s="1"/>
  <c r="V15" i="7"/>
  <c r="Q15" i="7"/>
  <c r="Q20" i="7" s="1"/>
  <c r="L15" i="7"/>
  <c r="L21" i="7" s="1"/>
  <c r="G15" i="7"/>
  <c r="G20" i="7" s="1"/>
  <c r="C20" i="7" s="1"/>
  <c r="B15" i="7"/>
  <c r="B13" i="7"/>
  <c r="B12" i="7"/>
  <c r="B11" i="7"/>
  <c r="B10" i="7"/>
  <c r="V9" i="7"/>
  <c r="B9" i="7"/>
  <c r="AF8" i="7"/>
  <c r="AF12" i="7" s="1"/>
  <c r="AA8" i="7"/>
  <c r="AA13" i="7" s="1"/>
  <c r="V8" i="7"/>
  <c r="V12" i="7" s="1"/>
  <c r="Q8" i="7"/>
  <c r="R8" i="7" s="1"/>
  <c r="M8" i="7"/>
  <c r="M12" i="7" s="1"/>
  <c r="L8" i="7"/>
  <c r="L13" i="7" s="1"/>
  <c r="G8" i="7"/>
  <c r="G12" i="7" s="1"/>
  <c r="B8" i="7"/>
  <c r="C8" i="7" l="1"/>
  <c r="D8" i="7" s="1"/>
  <c r="E8" i="7" s="1"/>
  <c r="F8" i="7" s="1"/>
  <c r="C15" i="7"/>
  <c r="D15" i="7" s="1"/>
  <c r="E15" i="7" s="1"/>
  <c r="F15" i="7" s="1"/>
  <c r="W15" i="7"/>
  <c r="V17" i="7"/>
  <c r="G21" i="7"/>
  <c r="AF25" i="7"/>
  <c r="AF27" i="7" s="1"/>
  <c r="AB23" i="7"/>
  <c r="AF29" i="7"/>
  <c r="Q35" i="7"/>
  <c r="Q39" i="7"/>
  <c r="AF33" i="7"/>
  <c r="H15" i="7"/>
  <c r="AA18" i="7"/>
  <c r="AG53" i="7"/>
  <c r="W35" i="7"/>
  <c r="W39" i="7"/>
  <c r="AF45" i="7"/>
  <c r="AG16" i="7"/>
  <c r="AG51" i="7"/>
  <c r="AB57" i="7"/>
  <c r="G25" i="7"/>
  <c r="G27" i="7" s="1"/>
  <c r="AL27" i="7" s="1"/>
  <c r="BT27" i="7" s="1"/>
  <c r="H23" i="7"/>
  <c r="AA29" i="7"/>
  <c r="V35" i="7"/>
  <c r="V39" i="7"/>
  <c r="W45" i="7"/>
  <c r="V11" i="7"/>
  <c r="V16" i="7"/>
  <c r="G19" i="7"/>
  <c r="C19" i="7" s="1"/>
  <c r="L29" i="7"/>
  <c r="L33" i="7" s="1"/>
  <c r="AQ33" i="7" s="1"/>
  <c r="V45" i="7"/>
  <c r="AG33" i="7"/>
  <c r="AF35" i="7"/>
  <c r="AF37" i="7" s="1"/>
  <c r="AA16" i="7"/>
  <c r="AG20" i="7"/>
  <c r="AF43" i="7"/>
  <c r="AA20" i="7"/>
  <c r="V29" i="7"/>
  <c r="AA35" i="7"/>
  <c r="AA39" i="7"/>
  <c r="V13" i="7"/>
  <c r="R15" i="7"/>
  <c r="R21" i="7" s="1"/>
  <c r="G17" i="7"/>
  <c r="C17" i="7" s="1"/>
  <c r="C21" i="7"/>
  <c r="AH21" i="7" s="1"/>
  <c r="R61" i="7"/>
  <c r="C25" i="7"/>
  <c r="D25" i="7" s="1"/>
  <c r="E25" i="7" s="1"/>
  <c r="F25" i="7" s="1"/>
  <c r="AA45" i="7"/>
  <c r="X23" i="7"/>
  <c r="W25" i="7"/>
  <c r="W27" i="7" s="1"/>
  <c r="AC23" i="7"/>
  <c r="AB25" i="7"/>
  <c r="AB27" i="7" s="1"/>
  <c r="N23" i="7"/>
  <c r="N29" i="7" s="1"/>
  <c r="M25" i="7"/>
  <c r="AG29" i="7"/>
  <c r="C23" i="7"/>
  <c r="D23" i="7" s="1"/>
  <c r="E23" i="7" s="1"/>
  <c r="F23" i="7" s="1"/>
  <c r="AK25" i="7" s="1"/>
  <c r="AG37" i="7"/>
  <c r="AG35" i="7"/>
  <c r="AV47" i="7"/>
  <c r="R23" i="7"/>
  <c r="AG47" i="7"/>
  <c r="AV33" i="7"/>
  <c r="AG39" i="7"/>
  <c r="Q25" i="7"/>
  <c r="Q27" i="7" s="1"/>
  <c r="AV27" i="7" s="1"/>
  <c r="CD27" i="7" s="1"/>
  <c r="C45" i="7"/>
  <c r="G47" i="7"/>
  <c r="AL47" i="7" s="1"/>
  <c r="C47" i="7"/>
  <c r="B27" i="7"/>
  <c r="G39" i="7"/>
  <c r="G43" i="7" s="1"/>
  <c r="AL43" i="7" s="1"/>
  <c r="G35" i="7"/>
  <c r="B43" i="7"/>
  <c r="AG43" i="7" s="1"/>
  <c r="L45" i="7"/>
  <c r="L47" i="7" s="1"/>
  <c r="AQ47" i="7" s="1"/>
  <c r="L27" i="7"/>
  <c r="AQ27" i="7" s="1"/>
  <c r="BY27" i="7" s="1"/>
  <c r="G33" i="7"/>
  <c r="W61" i="7"/>
  <c r="W58" i="7"/>
  <c r="W60" i="7"/>
  <c r="W57" i="7"/>
  <c r="W59" i="7"/>
  <c r="X56" i="7"/>
  <c r="D61" i="7"/>
  <c r="AG50" i="7"/>
  <c r="L57" i="7"/>
  <c r="L59" i="7"/>
  <c r="L61" i="7"/>
  <c r="L58" i="7"/>
  <c r="L60" i="7"/>
  <c r="M56" i="7"/>
  <c r="AG52" i="7"/>
  <c r="AG54" i="7"/>
  <c r="R58" i="7"/>
  <c r="G59" i="7"/>
  <c r="C59" i="7" s="1"/>
  <c r="AB60" i="7"/>
  <c r="H56" i="7"/>
  <c r="G57" i="7"/>
  <c r="C57" i="7" s="1"/>
  <c r="AB58" i="7"/>
  <c r="R59" i="7"/>
  <c r="G60" i="7"/>
  <c r="C60" i="7" s="1"/>
  <c r="AB61" i="7"/>
  <c r="AG64" i="7"/>
  <c r="AG66" i="7"/>
  <c r="S56" i="7"/>
  <c r="AC56" i="7"/>
  <c r="C56" i="7"/>
  <c r="D56" i="7" s="1"/>
  <c r="E56" i="7" s="1"/>
  <c r="F56" i="7" s="1"/>
  <c r="G58" i="7"/>
  <c r="C58" i="7" s="1"/>
  <c r="D20" i="7"/>
  <c r="S8" i="7"/>
  <c r="R12" i="7"/>
  <c r="R13" i="7"/>
  <c r="R11" i="7"/>
  <c r="R9" i="7"/>
  <c r="R10" i="7"/>
  <c r="C12" i="7"/>
  <c r="D21" i="7"/>
  <c r="X15" i="7"/>
  <c r="W20" i="7"/>
  <c r="W18" i="7"/>
  <c r="W16" i="7"/>
  <c r="W21" i="7"/>
  <c r="W17" i="7"/>
  <c r="W19" i="7"/>
  <c r="AB8" i="7"/>
  <c r="M9" i="7"/>
  <c r="Q10" i="7"/>
  <c r="AG10" i="7"/>
  <c r="M11" i="7"/>
  <c r="Q12" i="7"/>
  <c r="AG12" i="7"/>
  <c r="M13" i="7"/>
  <c r="R16" i="7"/>
  <c r="R18" i="7"/>
  <c r="V19" i="7"/>
  <c r="R20" i="7"/>
  <c r="V21" i="7"/>
  <c r="N8" i="7"/>
  <c r="G9" i="7"/>
  <c r="C9" i="7" s="1"/>
  <c r="AA10" i="7"/>
  <c r="G11" i="7"/>
  <c r="C11" i="7" s="1"/>
  <c r="AA12" i="7"/>
  <c r="G13" i="7"/>
  <c r="C13" i="7" s="1"/>
  <c r="S15" i="7"/>
  <c r="L16" i="7"/>
  <c r="H17" i="7"/>
  <c r="AF17" i="7"/>
  <c r="L18" i="7"/>
  <c r="H19" i="7"/>
  <c r="AF19" i="7"/>
  <c r="L20" i="7"/>
  <c r="H21" i="7"/>
  <c r="AF21" i="7"/>
  <c r="W8" i="7"/>
  <c r="AF9" i="7"/>
  <c r="L10" i="7"/>
  <c r="AF11" i="7"/>
  <c r="L12" i="7"/>
  <c r="AF13" i="7"/>
  <c r="AB15" i="7"/>
  <c r="Q17" i="7"/>
  <c r="AG17" i="7"/>
  <c r="Q19" i="7"/>
  <c r="AG19" i="7"/>
  <c r="Q21" i="7"/>
  <c r="AG21" i="7"/>
  <c r="H8" i="7"/>
  <c r="Q9" i="7"/>
  <c r="AG9" i="7"/>
  <c r="M10" i="7"/>
  <c r="Q11" i="7"/>
  <c r="AG11" i="7"/>
  <c r="Q13" i="7"/>
  <c r="AG13" i="7"/>
  <c r="M15" i="7"/>
  <c r="R17" i="7"/>
  <c r="V18" i="7"/>
  <c r="R19" i="7"/>
  <c r="V20" i="7"/>
  <c r="V10" i="7"/>
  <c r="G16" i="7"/>
  <c r="C16" i="7" s="1"/>
  <c r="AA17" i="7"/>
  <c r="G18" i="7"/>
  <c r="C18" i="7" s="1"/>
  <c r="AA19" i="7"/>
  <c r="AA9" i="7"/>
  <c r="G10" i="7"/>
  <c r="C10" i="7" s="1"/>
  <c r="AA11" i="7"/>
  <c r="H16" i="7"/>
  <c r="AF16" i="7"/>
  <c r="L17" i="7"/>
  <c r="H18" i="7"/>
  <c r="AF18" i="7"/>
  <c r="L19" i="7"/>
  <c r="L9" i="7"/>
  <c r="AF10" i="7"/>
  <c r="L11" i="7"/>
  <c r="Q16" i="7"/>
  <c r="Q18" i="7"/>
  <c r="B66" i="5"/>
  <c r="B65" i="5"/>
  <c r="B64" i="5"/>
  <c r="B63" i="5"/>
  <c r="AG61" i="5"/>
  <c r="AF61" i="5"/>
  <c r="AA61" i="5"/>
  <c r="V61" i="5"/>
  <c r="Q61" i="5"/>
  <c r="AG60" i="5"/>
  <c r="AF60" i="5"/>
  <c r="AA60" i="5"/>
  <c r="V60" i="5"/>
  <c r="Q60" i="5"/>
  <c r="AG59" i="5"/>
  <c r="AF59" i="5"/>
  <c r="AA59" i="5"/>
  <c r="V59" i="5"/>
  <c r="Q59" i="5"/>
  <c r="AG58" i="5"/>
  <c r="AF58" i="5"/>
  <c r="AA58" i="5"/>
  <c r="V58" i="5"/>
  <c r="Q58" i="5"/>
  <c r="AG57" i="5"/>
  <c r="AF57" i="5"/>
  <c r="AA57" i="5"/>
  <c r="V57" i="5"/>
  <c r="Q57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B56" i="5"/>
  <c r="AB57" i="5" s="1"/>
  <c r="W56" i="5"/>
  <c r="W59" i="5" s="1"/>
  <c r="R56" i="5"/>
  <c r="L56" i="5"/>
  <c r="L60" i="5" s="1"/>
  <c r="G56" i="5"/>
  <c r="B54" i="5"/>
  <c r="B53" i="5"/>
  <c r="B52" i="5"/>
  <c r="B51" i="5"/>
  <c r="B50" i="5"/>
  <c r="AG50" i="5" s="1"/>
  <c r="B49" i="5"/>
  <c r="AH17" i="7" l="1"/>
  <c r="D17" i="7"/>
  <c r="D19" i="7"/>
  <c r="E19" i="7" s="1"/>
  <c r="AH19" i="7"/>
  <c r="C27" i="7"/>
  <c r="D27" i="7" s="1"/>
  <c r="AG27" i="7"/>
  <c r="BO27" i="7" s="1"/>
  <c r="H20" i="7"/>
  <c r="I15" i="7"/>
  <c r="AH20" i="7"/>
  <c r="R39" i="7"/>
  <c r="R35" i="7"/>
  <c r="R29" i="7"/>
  <c r="R45" i="7"/>
  <c r="I23" i="7"/>
  <c r="H25" i="7"/>
  <c r="H27" i="7" s="1"/>
  <c r="AM27" i="7" s="1"/>
  <c r="BU27" i="7" s="1"/>
  <c r="H29" i="7"/>
  <c r="X35" i="7"/>
  <c r="X39" i="7"/>
  <c r="X45" i="7"/>
  <c r="X29" i="7"/>
  <c r="AC45" i="7"/>
  <c r="AC29" i="7"/>
  <c r="AC39" i="7"/>
  <c r="AC35" i="7"/>
  <c r="AC37" i="7" s="1"/>
  <c r="AC33" i="7"/>
  <c r="AC43" i="7"/>
  <c r="AB33" i="7"/>
  <c r="AB45" i="7"/>
  <c r="AB39" i="7"/>
  <c r="AB35" i="7"/>
  <c r="AB37" i="7" s="1"/>
  <c r="AB43" i="7"/>
  <c r="AB29" i="7"/>
  <c r="X56" i="5"/>
  <c r="X70" i="5" s="1"/>
  <c r="AG54" i="5"/>
  <c r="R60" i="5"/>
  <c r="R70" i="5"/>
  <c r="R58" i="5"/>
  <c r="S56" i="5"/>
  <c r="T56" i="5" s="1"/>
  <c r="T70" i="5" s="1"/>
  <c r="AB60" i="5"/>
  <c r="W61" i="5"/>
  <c r="W70" i="5"/>
  <c r="W57" i="5"/>
  <c r="AG56" i="5"/>
  <c r="B75" i="5"/>
  <c r="B71" i="5"/>
  <c r="AC56" i="5"/>
  <c r="L57" i="5"/>
  <c r="L70" i="5"/>
  <c r="G61" i="5"/>
  <c r="C61" i="5" s="1"/>
  <c r="D61" i="5" s="1"/>
  <c r="G70" i="5"/>
  <c r="G59" i="5"/>
  <c r="C59" i="5" s="1"/>
  <c r="R61" i="5"/>
  <c r="AG52" i="5"/>
  <c r="D47" i="7"/>
  <c r="AH47" i="7"/>
  <c r="AD23" i="7"/>
  <c r="AC25" i="7"/>
  <c r="AC27" i="7" s="1"/>
  <c r="C33" i="7"/>
  <c r="AL33" i="7"/>
  <c r="D45" i="7"/>
  <c r="AH45" i="7"/>
  <c r="AJ25" i="7"/>
  <c r="S23" i="7"/>
  <c r="R25" i="7"/>
  <c r="R27" i="7" s="1"/>
  <c r="C43" i="7"/>
  <c r="AI25" i="7"/>
  <c r="AH25" i="7"/>
  <c r="O23" i="7"/>
  <c r="O29" i="7" s="1"/>
  <c r="N25" i="7"/>
  <c r="X25" i="7"/>
  <c r="X27" i="7" s="1"/>
  <c r="Y23" i="7"/>
  <c r="AH27" i="7"/>
  <c r="BP27" i="7" s="1"/>
  <c r="H33" i="7"/>
  <c r="AM33" i="7" s="1"/>
  <c r="H39" i="7"/>
  <c r="H43" i="7" s="1"/>
  <c r="AM43" i="7" s="1"/>
  <c r="H35" i="7"/>
  <c r="H37" i="7" s="1"/>
  <c r="AM37" i="7" s="1"/>
  <c r="H45" i="7"/>
  <c r="H47" i="7" s="1"/>
  <c r="AM47" i="7" s="1"/>
  <c r="M27" i="7"/>
  <c r="AR27" i="7" s="1"/>
  <c r="BZ27" i="7" s="1"/>
  <c r="M45" i="7"/>
  <c r="M47" i="7" s="1"/>
  <c r="AR47" i="7" s="1"/>
  <c r="M33" i="7"/>
  <c r="AR33" i="7" s="1"/>
  <c r="M35" i="7"/>
  <c r="M37" i="7" s="1"/>
  <c r="AR37" i="7" s="1"/>
  <c r="M39" i="7"/>
  <c r="M43" i="7" s="1"/>
  <c r="AR43" i="7" s="1"/>
  <c r="G37" i="7"/>
  <c r="C35" i="7"/>
  <c r="C39" i="7"/>
  <c r="C29" i="7"/>
  <c r="H61" i="7"/>
  <c r="H60" i="7"/>
  <c r="H57" i="7"/>
  <c r="I56" i="7"/>
  <c r="H59" i="7"/>
  <c r="H58" i="7"/>
  <c r="X58" i="7"/>
  <c r="Y56" i="7"/>
  <c r="X60" i="7"/>
  <c r="X59" i="7"/>
  <c r="X57" i="7"/>
  <c r="X61" i="7"/>
  <c r="D59" i="7"/>
  <c r="AH59" i="7"/>
  <c r="E61" i="7"/>
  <c r="AI61" i="7"/>
  <c r="D58" i="7"/>
  <c r="AH58" i="7"/>
  <c r="AH61" i="7"/>
  <c r="AC59" i="7"/>
  <c r="AD56" i="7"/>
  <c r="AC61" i="7"/>
  <c r="AC58" i="7"/>
  <c r="AC60" i="7"/>
  <c r="AC57" i="7"/>
  <c r="AH60" i="7"/>
  <c r="D60" i="7"/>
  <c r="T56" i="7"/>
  <c r="S59" i="7"/>
  <c r="S61" i="7"/>
  <c r="S58" i="7"/>
  <c r="S60" i="7"/>
  <c r="S57" i="7"/>
  <c r="M59" i="7"/>
  <c r="M61" i="7"/>
  <c r="M58" i="7"/>
  <c r="M60" i="7"/>
  <c r="M57" i="7"/>
  <c r="N56" i="7"/>
  <c r="AH57" i="7"/>
  <c r="D57" i="7"/>
  <c r="AH10" i="7"/>
  <c r="D10" i="7"/>
  <c r="D13" i="7"/>
  <c r="AH13" i="7"/>
  <c r="D9" i="7"/>
  <c r="AH9" i="7"/>
  <c r="E17" i="7"/>
  <c r="AI17" i="7"/>
  <c r="S13" i="7"/>
  <c r="S11" i="7"/>
  <c r="S9" i="7"/>
  <c r="S12" i="7"/>
  <c r="S10" i="7"/>
  <c r="T8" i="7"/>
  <c r="D18" i="7"/>
  <c r="AH18" i="7"/>
  <c r="AH12" i="7"/>
  <c r="D12" i="7"/>
  <c r="D16" i="7"/>
  <c r="AH16" i="7"/>
  <c r="M21" i="7"/>
  <c r="M19" i="7"/>
  <c r="M17" i="7"/>
  <c r="N15" i="7"/>
  <c r="M20" i="7"/>
  <c r="M18" i="7"/>
  <c r="M16" i="7"/>
  <c r="H12" i="7"/>
  <c r="H10" i="7"/>
  <c r="I8" i="7"/>
  <c r="H13" i="7"/>
  <c r="H11" i="7"/>
  <c r="H9" i="7"/>
  <c r="W12" i="7"/>
  <c r="W10" i="7"/>
  <c r="X8" i="7"/>
  <c r="W13" i="7"/>
  <c r="W11" i="7"/>
  <c r="W9" i="7"/>
  <c r="X20" i="7"/>
  <c r="X18" i="7"/>
  <c r="X16" i="7"/>
  <c r="X21" i="7"/>
  <c r="X19" i="7"/>
  <c r="X17" i="7"/>
  <c r="Y15" i="7"/>
  <c r="D11" i="7"/>
  <c r="AH11" i="7"/>
  <c r="N13" i="7"/>
  <c r="N9" i="7"/>
  <c r="N12" i="7"/>
  <c r="N10" i="7"/>
  <c r="N11" i="7"/>
  <c r="O8" i="7"/>
  <c r="AB13" i="7"/>
  <c r="AB11" i="7"/>
  <c r="AB9" i="7"/>
  <c r="AC8" i="7"/>
  <c r="AB12" i="7"/>
  <c r="AB10" i="7"/>
  <c r="AB21" i="7"/>
  <c r="AB19" i="7"/>
  <c r="AB17" i="7"/>
  <c r="AC15" i="7"/>
  <c r="AB20" i="7"/>
  <c r="AB18" i="7"/>
  <c r="AB16" i="7"/>
  <c r="S16" i="7"/>
  <c r="S21" i="7"/>
  <c r="S19" i="7"/>
  <c r="S17" i="7"/>
  <c r="S18" i="7"/>
  <c r="T15" i="7"/>
  <c r="S20" i="7"/>
  <c r="E21" i="7"/>
  <c r="AI21" i="7"/>
  <c r="AI20" i="7"/>
  <c r="E20" i="7"/>
  <c r="D59" i="5"/>
  <c r="X60" i="5"/>
  <c r="AG65" i="5"/>
  <c r="H56" i="5"/>
  <c r="H70" i="5" s="1"/>
  <c r="G57" i="5"/>
  <c r="C57" i="5" s="1"/>
  <c r="L58" i="5"/>
  <c r="AB58" i="5"/>
  <c r="S61" i="5"/>
  <c r="AC58" i="5"/>
  <c r="R59" i="5"/>
  <c r="G60" i="5"/>
  <c r="C60" i="5" s="1"/>
  <c r="W60" i="5"/>
  <c r="L61" i="5"/>
  <c r="AB61" i="5"/>
  <c r="AG64" i="5"/>
  <c r="AG66" i="5"/>
  <c r="AG51" i="5"/>
  <c r="AG53" i="5"/>
  <c r="AC61" i="5"/>
  <c r="C56" i="5"/>
  <c r="AD56" i="5"/>
  <c r="R57" i="5"/>
  <c r="G58" i="5"/>
  <c r="C58" i="5" s="1"/>
  <c r="W58" i="5"/>
  <c r="L59" i="5"/>
  <c r="AB59" i="5"/>
  <c r="S57" i="5"/>
  <c r="M56" i="5"/>
  <c r="M70" i="5" s="1"/>
  <c r="AD43" i="7" l="1"/>
  <c r="AD29" i="7"/>
  <c r="AD45" i="7"/>
  <c r="AD39" i="7"/>
  <c r="AD35" i="7"/>
  <c r="AD37" i="7" s="1"/>
  <c r="AD33" i="7"/>
  <c r="Y29" i="7"/>
  <c r="Y39" i="7"/>
  <c r="Y35" i="7"/>
  <c r="Y45" i="7"/>
  <c r="AI19" i="7"/>
  <c r="S45" i="7"/>
  <c r="S39" i="7"/>
  <c r="S35" i="7"/>
  <c r="S29" i="7"/>
  <c r="I20" i="7"/>
  <c r="J15" i="7"/>
  <c r="I21" i="7"/>
  <c r="I17" i="7"/>
  <c r="I16" i="7"/>
  <c r="I19" i="7"/>
  <c r="I18" i="7"/>
  <c r="I25" i="7"/>
  <c r="I27" i="7" s="1"/>
  <c r="AN27" i="7" s="1"/>
  <c r="BV27" i="7" s="1"/>
  <c r="I29" i="7"/>
  <c r="J23" i="7"/>
  <c r="S59" i="5"/>
  <c r="X57" i="5"/>
  <c r="Y56" i="5"/>
  <c r="Y70" i="5" s="1"/>
  <c r="X58" i="5"/>
  <c r="X61" i="5"/>
  <c r="X59" i="5"/>
  <c r="S60" i="5"/>
  <c r="S70" i="5"/>
  <c r="S58" i="5"/>
  <c r="D56" i="5"/>
  <c r="AI59" i="5" s="1"/>
  <c r="C70" i="5"/>
  <c r="AC59" i="5"/>
  <c r="AC57" i="5"/>
  <c r="AC60" i="5"/>
  <c r="C37" i="7"/>
  <c r="AL37" i="7"/>
  <c r="E45" i="7"/>
  <c r="AI45" i="7"/>
  <c r="T23" i="7"/>
  <c r="S25" i="7"/>
  <c r="S27" i="7" s="1"/>
  <c r="D33" i="7"/>
  <c r="AH33" i="7"/>
  <c r="P23" i="7"/>
  <c r="O25" i="7"/>
  <c r="AE23" i="7"/>
  <c r="AD25" i="7"/>
  <c r="AD27" i="7" s="1"/>
  <c r="D29" i="7"/>
  <c r="AH29" i="7"/>
  <c r="D39" i="7"/>
  <c r="AH39" i="7"/>
  <c r="Y25" i="7"/>
  <c r="Y27" i="7" s="1"/>
  <c r="Z23" i="7"/>
  <c r="E47" i="7"/>
  <c r="AI47" i="7"/>
  <c r="D35" i="7"/>
  <c r="AH35" i="7"/>
  <c r="D43" i="7"/>
  <c r="AH43" i="7"/>
  <c r="E27" i="7"/>
  <c r="AI27" i="7"/>
  <c r="BQ27" i="7" s="1"/>
  <c r="I35" i="7"/>
  <c r="I37" i="7" s="1"/>
  <c r="AN37" i="7" s="1"/>
  <c r="I39" i="7"/>
  <c r="I43" i="7" s="1"/>
  <c r="AN43" i="7" s="1"/>
  <c r="I45" i="7"/>
  <c r="I47" i="7" s="1"/>
  <c r="AN47" i="7" s="1"/>
  <c r="I33" i="7"/>
  <c r="AN33" i="7" s="1"/>
  <c r="N27" i="7"/>
  <c r="AS27" i="7" s="1"/>
  <c r="CA27" i="7" s="1"/>
  <c r="N45" i="7"/>
  <c r="N47" i="7" s="1"/>
  <c r="AS47" i="7" s="1"/>
  <c r="N35" i="7"/>
  <c r="N37" i="7" s="1"/>
  <c r="AS37" i="7" s="1"/>
  <c r="N33" i="7"/>
  <c r="AS33" i="7" s="1"/>
  <c r="N39" i="7"/>
  <c r="N43" i="7" s="1"/>
  <c r="AS43" i="7" s="1"/>
  <c r="N61" i="7"/>
  <c r="N57" i="7"/>
  <c r="N58" i="7"/>
  <c r="N60" i="7"/>
  <c r="O56" i="7"/>
  <c r="N59" i="7"/>
  <c r="E60" i="7"/>
  <c r="AI60" i="7"/>
  <c r="T57" i="7"/>
  <c r="T59" i="7"/>
  <c r="T61" i="7"/>
  <c r="T58" i="7"/>
  <c r="T60" i="7"/>
  <c r="U56" i="7"/>
  <c r="Y60" i="7"/>
  <c r="Y57" i="7"/>
  <c r="Y59" i="7"/>
  <c r="Z56" i="7"/>
  <c r="Y61" i="7"/>
  <c r="Y58" i="7"/>
  <c r="E57" i="7"/>
  <c r="AI57" i="7"/>
  <c r="AI58" i="7"/>
  <c r="E58" i="7"/>
  <c r="F61" i="7"/>
  <c r="AK61" i="7" s="1"/>
  <c r="AJ61" i="7"/>
  <c r="AH56" i="7"/>
  <c r="I58" i="7"/>
  <c r="I60" i="7"/>
  <c r="I57" i="7"/>
  <c r="J56" i="7"/>
  <c r="I59" i="7"/>
  <c r="I61" i="7"/>
  <c r="AD61" i="7"/>
  <c r="AD57" i="7"/>
  <c r="AD58" i="7"/>
  <c r="AD60" i="7"/>
  <c r="AD59" i="7"/>
  <c r="AE56" i="7"/>
  <c r="E59" i="7"/>
  <c r="AI59" i="7"/>
  <c r="O12" i="7"/>
  <c r="O10" i="7"/>
  <c r="P8" i="7"/>
  <c r="O13" i="7"/>
  <c r="O11" i="7"/>
  <c r="O9" i="7"/>
  <c r="Y20" i="7"/>
  <c r="Y18" i="7"/>
  <c r="Y16" i="7"/>
  <c r="Y21" i="7"/>
  <c r="Y19" i="7"/>
  <c r="Y17" i="7"/>
  <c r="Z15" i="7"/>
  <c r="J8" i="7"/>
  <c r="I13" i="7"/>
  <c r="I11" i="7"/>
  <c r="I9" i="7"/>
  <c r="I12" i="7"/>
  <c r="I10" i="7"/>
  <c r="AJ17" i="7"/>
  <c r="F17" i="7"/>
  <c r="AK17" i="7" s="1"/>
  <c r="F20" i="7"/>
  <c r="AK20" i="7" s="1"/>
  <c r="AJ20" i="7"/>
  <c r="X12" i="7"/>
  <c r="X10" i="7"/>
  <c r="Y8" i="7"/>
  <c r="X13" i="7"/>
  <c r="X11" i="7"/>
  <c r="X9" i="7"/>
  <c r="T13" i="7"/>
  <c r="T11" i="7"/>
  <c r="T9" i="7"/>
  <c r="T12" i="7"/>
  <c r="T10" i="7"/>
  <c r="U8" i="7"/>
  <c r="AI18" i="7"/>
  <c r="E18" i="7"/>
  <c r="AI16" i="7"/>
  <c r="E16" i="7"/>
  <c r="AI9" i="7"/>
  <c r="E9" i="7"/>
  <c r="AC12" i="7"/>
  <c r="AC10" i="7"/>
  <c r="AD8" i="7"/>
  <c r="AC13" i="7"/>
  <c r="AC11" i="7"/>
  <c r="AC9" i="7"/>
  <c r="AJ21" i="7"/>
  <c r="F21" i="7"/>
  <c r="AK21" i="7" s="1"/>
  <c r="T21" i="7"/>
  <c r="T19" i="7"/>
  <c r="T17" i="7"/>
  <c r="U15" i="7"/>
  <c r="T20" i="7"/>
  <c r="T18" i="7"/>
  <c r="T16" i="7"/>
  <c r="AJ19" i="7"/>
  <c r="F19" i="7"/>
  <c r="AK19" i="7" s="1"/>
  <c r="AI13" i="7"/>
  <c r="E13" i="7"/>
  <c r="AC21" i="7"/>
  <c r="AC19" i="7"/>
  <c r="AC17" i="7"/>
  <c r="AD15" i="7"/>
  <c r="AC20" i="7"/>
  <c r="AC18" i="7"/>
  <c r="AC16" i="7"/>
  <c r="O15" i="7"/>
  <c r="N20" i="7"/>
  <c r="N18" i="7"/>
  <c r="N16" i="7"/>
  <c r="N21" i="7"/>
  <c r="N19" i="7"/>
  <c r="N17" i="7"/>
  <c r="E12" i="7"/>
  <c r="AI12" i="7"/>
  <c r="E10" i="7"/>
  <c r="AI10" i="7"/>
  <c r="AI11" i="7"/>
  <c r="E11" i="7"/>
  <c r="AH61" i="5"/>
  <c r="AH60" i="5"/>
  <c r="D60" i="5"/>
  <c r="E61" i="5"/>
  <c r="D58" i="5"/>
  <c r="AH58" i="5"/>
  <c r="D57" i="5"/>
  <c r="AH57" i="5"/>
  <c r="Y58" i="5"/>
  <c r="Y59" i="5"/>
  <c r="Z56" i="5"/>
  <c r="Z70" i="5" s="1"/>
  <c r="AH59" i="5"/>
  <c r="H61" i="5"/>
  <c r="H58" i="5"/>
  <c r="H60" i="5"/>
  <c r="H57" i="5"/>
  <c r="I56" i="5"/>
  <c r="I70" i="5" s="1"/>
  <c r="H59" i="5"/>
  <c r="E59" i="5"/>
  <c r="AD59" i="5"/>
  <c r="AE56" i="5"/>
  <c r="AD61" i="5"/>
  <c r="AD57" i="5"/>
  <c r="AD58" i="5"/>
  <c r="AD60" i="5"/>
  <c r="M59" i="5"/>
  <c r="M60" i="5"/>
  <c r="M61" i="5"/>
  <c r="M58" i="5"/>
  <c r="M57" i="5"/>
  <c r="N56" i="5"/>
  <c r="N70" i="5" s="1"/>
  <c r="T57" i="5"/>
  <c r="U56" i="5"/>
  <c r="U70" i="5" s="1"/>
  <c r="T59" i="5"/>
  <c r="T61" i="5"/>
  <c r="T58" i="5"/>
  <c r="T60" i="5"/>
  <c r="AE25" i="7" l="1"/>
  <c r="AE27" i="7" s="1"/>
  <c r="AE29" i="7"/>
  <c r="AE43" i="7"/>
  <c r="AE33" i="7"/>
  <c r="AE45" i="7"/>
  <c r="AE39" i="7"/>
  <c r="AE35" i="7"/>
  <c r="AE37" i="7" s="1"/>
  <c r="J29" i="7"/>
  <c r="K23" i="7"/>
  <c r="J25" i="7"/>
  <c r="J27" i="7" s="1"/>
  <c r="AO27" i="7" s="1"/>
  <c r="BW27" i="7" s="1"/>
  <c r="J21" i="7"/>
  <c r="K15" i="7"/>
  <c r="J16" i="7"/>
  <c r="J18" i="7"/>
  <c r="J17" i="7"/>
  <c r="J20" i="7"/>
  <c r="J19" i="7"/>
  <c r="Z39" i="7"/>
  <c r="Z35" i="7"/>
  <c r="Z29" i="7"/>
  <c r="Z45" i="7"/>
  <c r="P25" i="7"/>
  <c r="P39" i="7"/>
  <c r="P29" i="7"/>
  <c r="AI56" i="7"/>
  <c r="T45" i="7"/>
  <c r="T39" i="7"/>
  <c r="T35" i="7"/>
  <c r="T29" i="7"/>
  <c r="Y61" i="5"/>
  <c r="Y57" i="5"/>
  <c r="Y60" i="5"/>
  <c r="AI61" i="5"/>
  <c r="E56" i="5"/>
  <c r="AJ61" i="5" s="1"/>
  <c r="D70" i="5"/>
  <c r="E29" i="7"/>
  <c r="AI29" i="7"/>
  <c r="U23" i="7"/>
  <c r="T25" i="7"/>
  <c r="T27" i="7" s="1"/>
  <c r="D37" i="7"/>
  <c r="AH37" i="7"/>
  <c r="E43" i="7"/>
  <c r="AI43" i="7"/>
  <c r="E35" i="7"/>
  <c r="AI35" i="7"/>
  <c r="F47" i="7"/>
  <c r="AK47" i="7" s="1"/>
  <c r="AJ47" i="7"/>
  <c r="E39" i="7"/>
  <c r="AI39" i="7"/>
  <c r="E33" i="7"/>
  <c r="AI33" i="7"/>
  <c r="F45" i="7"/>
  <c r="AK45" i="7" s="1"/>
  <c r="AJ45" i="7"/>
  <c r="Z25" i="7"/>
  <c r="Z27" i="7" s="1"/>
  <c r="F27" i="7"/>
  <c r="AK27" i="7" s="1"/>
  <c r="BS27" i="7" s="1"/>
  <c r="AJ27" i="7"/>
  <c r="BR27" i="7" s="1"/>
  <c r="J35" i="7"/>
  <c r="J37" i="7" s="1"/>
  <c r="AO37" i="7" s="1"/>
  <c r="J39" i="7"/>
  <c r="J43" i="7" s="1"/>
  <c r="AO43" i="7" s="1"/>
  <c r="J45" i="7"/>
  <c r="J47" i="7" s="1"/>
  <c r="AO47" i="7" s="1"/>
  <c r="J33" i="7"/>
  <c r="AO33" i="7" s="1"/>
  <c r="O45" i="7"/>
  <c r="O47" i="7" s="1"/>
  <c r="AT47" i="7" s="1"/>
  <c r="O33" i="7"/>
  <c r="AT33" i="7" s="1"/>
  <c r="O35" i="7"/>
  <c r="O37" i="7" s="1"/>
  <c r="AT37" i="7" s="1"/>
  <c r="O39" i="7"/>
  <c r="O43" i="7" s="1"/>
  <c r="AT43" i="7" s="1"/>
  <c r="O27" i="7"/>
  <c r="AT27" i="7" s="1"/>
  <c r="CB27" i="7" s="1"/>
  <c r="J60" i="7"/>
  <c r="J57" i="7"/>
  <c r="K56" i="7"/>
  <c r="J61" i="7"/>
  <c r="J59" i="7"/>
  <c r="J58" i="7"/>
  <c r="F57" i="7"/>
  <c r="AK57" i="7" s="1"/>
  <c r="AJ57" i="7"/>
  <c r="AJ59" i="7"/>
  <c r="F59" i="7"/>
  <c r="AK59" i="7" s="1"/>
  <c r="AE61" i="7"/>
  <c r="AE58" i="7"/>
  <c r="AE60" i="7"/>
  <c r="AE57" i="7"/>
  <c r="AE59" i="7"/>
  <c r="F60" i="7"/>
  <c r="AK60" i="7" s="1"/>
  <c r="AJ60" i="7"/>
  <c r="Z60" i="7"/>
  <c r="Z57" i="7"/>
  <c r="Z59" i="7"/>
  <c r="Z61" i="7"/>
  <c r="Z58" i="7"/>
  <c r="O61" i="7"/>
  <c r="O58" i="7"/>
  <c r="O60" i="7"/>
  <c r="O57" i="7"/>
  <c r="P56" i="7"/>
  <c r="O59" i="7"/>
  <c r="F58" i="7"/>
  <c r="AK58" i="7" s="1"/>
  <c r="AJ58" i="7"/>
  <c r="U59" i="7"/>
  <c r="U60" i="7"/>
  <c r="U61" i="7"/>
  <c r="U58" i="7"/>
  <c r="U57" i="7"/>
  <c r="AJ9" i="7"/>
  <c r="F9" i="7"/>
  <c r="AK9" i="7" s="1"/>
  <c r="AJ11" i="7"/>
  <c r="F11" i="7"/>
  <c r="AK11" i="7" s="1"/>
  <c r="AE15" i="7"/>
  <c r="AD20" i="7"/>
  <c r="AD18" i="7"/>
  <c r="AD16" i="7"/>
  <c r="AD21" i="7"/>
  <c r="AD19" i="7"/>
  <c r="AD17" i="7"/>
  <c r="F16" i="7"/>
  <c r="AK16" i="7" s="1"/>
  <c r="AJ16" i="7"/>
  <c r="K8" i="7"/>
  <c r="J12" i="7"/>
  <c r="J10" i="7"/>
  <c r="J13" i="7"/>
  <c r="J11" i="7"/>
  <c r="J9" i="7"/>
  <c r="F10" i="7"/>
  <c r="AK10" i="7" s="1"/>
  <c r="AJ10" i="7"/>
  <c r="U21" i="7"/>
  <c r="U19" i="7"/>
  <c r="U17" i="7"/>
  <c r="U20" i="7"/>
  <c r="U18" i="7"/>
  <c r="U16" i="7"/>
  <c r="F18" i="7"/>
  <c r="AK18" i="7" s="1"/>
  <c r="AJ18" i="7"/>
  <c r="Z21" i="7"/>
  <c r="Z19" i="7"/>
  <c r="Z17" i="7"/>
  <c r="Z20" i="7"/>
  <c r="Z18" i="7"/>
  <c r="Z16" i="7"/>
  <c r="P15" i="7"/>
  <c r="O20" i="7"/>
  <c r="O18" i="7"/>
  <c r="O16" i="7"/>
  <c r="O21" i="7"/>
  <c r="O19" i="7"/>
  <c r="O17" i="7"/>
  <c r="AJ13" i="7"/>
  <c r="F13" i="7"/>
  <c r="AK13" i="7" s="1"/>
  <c r="AD13" i="7"/>
  <c r="AD11" i="7"/>
  <c r="AD9" i="7"/>
  <c r="AD12" i="7"/>
  <c r="AD10" i="7"/>
  <c r="AE8" i="7"/>
  <c r="F12" i="7"/>
  <c r="AK12" i="7" s="1"/>
  <c r="AJ12" i="7"/>
  <c r="U12" i="7"/>
  <c r="U10" i="7"/>
  <c r="U13" i="7"/>
  <c r="U11" i="7"/>
  <c r="U9" i="7"/>
  <c r="P12" i="7"/>
  <c r="P10" i="7"/>
  <c r="P13" i="7"/>
  <c r="P11" i="7"/>
  <c r="P9" i="7"/>
  <c r="Z8" i="7"/>
  <c r="Y13" i="7"/>
  <c r="Y11" i="7"/>
  <c r="Y9" i="7"/>
  <c r="Y12" i="7"/>
  <c r="Y10" i="7"/>
  <c r="F59" i="5"/>
  <c r="AH56" i="5"/>
  <c r="F61" i="5"/>
  <c r="AI57" i="5"/>
  <c r="E57" i="5"/>
  <c r="AI58" i="5"/>
  <c r="E58" i="5"/>
  <c r="Z60" i="5"/>
  <c r="Z57" i="5"/>
  <c r="Z61" i="5"/>
  <c r="Z59" i="5"/>
  <c r="Z58" i="5"/>
  <c r="N59" i="5"/>
  <c r="O56" i="5"/>
  <c r="O70" i="5" s="1"/>
  <c r="N61" i="5"/>
  <c r="N57" i="5"/>
  <c r="N58" i="5"/>
  <c r="N60" i="5"/>
  <c r="U59" i="5"/>
  <c r="U61" i="5"/>
  <c r="U58" i="5"/>
  <c r="U60" i="5"/>
  <c r="U57" i="5"/>
  <c r="AE61" i="5"/>
  <c r="AE58" i="5"/>
  <c r="AE60" i="5"/>
  <c r="AE57" i="5"/>
  <c r="AE59" i="5"/>
  <c r="I58" i="5"/>
  <c r="I60" i="5"/>
  <c r="I57" i="5"/>
  <c r="J56" i="5"/>
  <c r="J70" i="5" s="1"/>
  <c r="I59" i="5"/>
  <c r="I61" i="5"/>
  <c r="AI60" i="5"/>
  <c r="E60" i="5"/>
  <c r="K25" i="7" l="1"/>
  <c r="K27" i="7" s="1"/>
  <c r="AP27" i="7" s="1"/>
  <c r="BX27" i="7" s="1"/>
  <c r="K29" i="7"/>
  <c r="K33" i="7" s="1"/>
  <c r="AP33" i="7" s="1"/>
  <c r="U45" i="7"/>
  <c r="U29" i="7"/>
  <c r="U39" i="7"/>
  <c r="U35" i="7"/>
  <c r="AJ56" i="7"/>
  <c r="AK56" i="7"/>
  <c r="K19" i="7"/>
  <c r="K17" i="7"/>
  <c r="K18" i="7"/>
  <c r="K20" i="7"/>
  <c r="K16" i="7"/>
  <c r="K21" i="7"/>
  <c r="AJ59" i="5"/>
  <c r="AI56" i="5"/>
  <c r="AK59" i="5"/>
  <c r="F56" i="5"/>
  <c r="F70" i="5" s="1"/>
  <c r="E70" i="5"/>
  <c r="E37" i="7"/>
  <c r="AI37" i="7"/>
  <c r="U25" i="7"/>
  <c r="U27" i="7" s="1"/>
  <c r="F29" i="7"/>
  <c r="AK29" i="7" s="1"/>
  <c r="AJ29" i="7"/>
  <c r="F35" i="7"/>
  <c r="AK35" i="7" s="1"/>
  <c r="AJ35" i="7"/>
  <c r="F33" i="7"/>
  <c r="AK33" i="7" s="1"/>
  <c r="AJ33" i="7"/>
  <c r="F43" i="7"/>
  <c r="AK43" i="7" s="1"/>
  <c r="AJ43" i="7"/>
  <c r="F39" i="7"/>
  <c r="AK39" i="7" s="1"/>
  <c r="AJ39" i="7"/>
  <c r="P33" i="7"/>
  <c r="AU33" i="7" s="1"/>
  <c r="P43" i="7"/>
  <c r="AU43" i="7" s="1"/>
  <c r="P35" i="7"/>
  <c r="P37" i="7" s="1"/>
  <c r="AU37" i="7" s="1"/>
  <c r="P45" i="7"/>
  <c r="P47" i="7" s="1"/>
  <c r="AU47" i="7" s="1"/>
  <c r="P27" i="7"/>
  <c r="AU27" i="7" s="1"/>
  <c r="CC27" i="7" s="1"/>
  <c r="K39" i="7"/>
  <c r="K43" i="7" s="1"/>
  <c r="AP43" i="7" s="1"/>
  <c r="K45" i="7"/>
  <c r="K47" i="7" s="1"/>
  <c r="AP47" i="7" s="1"/>
  <c r="K35" i="7"/>
  <c r="K37" i="7" s="1"/>
  <c r="AP37" i="7" s="1"/>
  <c r="P61" i="7"/>
  <c r="P58" i="7"/>
  <c r="P59" i="7"/>
  <c r="P60" i="7"/>
  <c r="P57" i="7"/>
  <c r="K58" i="7"/>
  <c r="K59" i="7"/>
  <c r="K61" i="7"/>
  <c r="K60" i="7"/>
  <c r="K57" i="7"/>
  <c r="Z12" i="7"/>
  <c r="Z13" i="7"/>
  <c r="Z11" i="7"/>
  <c r="Z9" i="7"/>
  <c r="Z10" i="7"/>
  <c r="K13" i="7"/>
  <c r="K11" i="7"/>
  <c r="K9" i="7"/>
  <c r="K12" i="7"/>
  <c r="K10" i="7"/>
  <c r="AE20" i="7"/>
  <c r="AE18" i="7"/>
  <c r="AE16" i="7"/>
  <c r="AE17" i="7"/>
  <c r="AE21" i="7"/>
  <c r="AE19" i="7"/>
  <c r="P20" i="7"/>
  <c r="P18" i="7"/>
  <c r="P16" i="7"/>
  <c r="P21" i="7"/>
  <c r="P19" i="7"/>
  <c r="P17" i="7"/>
  <c r="AE12" i="7"/>
  <c r="AE10" i="7"/>
  <c r="AE13" i="7"/>
  <c r="AE11" i="7"/>
  <c r="AE9" i="7"/>
  <c r="O61" i="5"/>
  <c r="O58" i="5"/>
  <c r="O60" i="5"/>
  <c r="O57" i="5"/>
  <c r="P56" i="5"/>
  <c r="P70" i="5" s="1"/>
  <c r="O59" i="5"/>
  <c r="AJ57" i="5"/>
  <c r="F57" i="5"/>
  <c r="J60" i="5"/>
  <c r="J57" i="5"/>
  <c r="K56" i="5"/>
  <c r="K70" i="5" s="1"/>
  <c r="J61" i="5"/>
  <c r="J59" i="5"/>
  <c r="J58" i="5"/>
  <c r="F60" i="5"/>
  <c r="AK60" i="5" s="1"/>
  <c r="AJ60" i="5"/>
  <c r="F58" i="5"/>
  <c r="AK58" i="5" s="1"/>
  <c r="AJ58" i="5"/>
  <c r="AK61" i="5" l="1"/>
  <c r="AK57" i="5"/>
  <c r="AK56" i="5" s="1"/>
  <c r="AJ56" i="5"/>
  <c r="F37" i="7"/>
  <c r="AK37" i="7" s="1"/>
  <c r="AJ37" i="7"/>
  <c r="P61" i="5"/>
  <c r="P58" i="5"/>
  <c r="P59" i="5"/>
  <c r="P60" i="5"/>
  <c r="P57" i="5"/>
  <c r="K60" i="5"/>
  <c r="K57" i="5"/>
  <c r="K59" i="5"/>
  <c r="K58" i="5"/>
  <c r="K61" i="5"/>
  <c r="Q25" i="5" l="1"/>
  <c r="AF23" i="5"/>
  <c r="AA23" i="5"/>
  <c r="AA45" i="5" s="1"/>
  <c r="V23" i="5"/>
  <c r="V29" i="5" s="1"/>
  <c r="Q23" i="5"/>
  <c r="AB27" i="6"/>
  <c r="B47" i="5"/>
  <c r="B39" i="5"/>
  <c r="B35" i="5"/>
  <c r="B29" i="5"/>
  <c r="L25" i="5"/>
  <c r="L27" i="5" s="1"/>
  <c r="AQ27" i="5" s="1"/>
  <c r="BY27" i="5" s="1"/>
  <c r="B25" i="5"/>
  <c r="B27" i="5" s="1"/>
  <c r="L23" i="5"/>
  <c r="G23" i="5"/>
  <c r="G45" i="5" s="1"/>
  <c r="G47" i="5" s="1"/>
  <c r="B23" i="5"/>
  <c r="C23" i="5" s="1"/>
  <c r="Q26" i="6"/>
  <c r="Q27" i="6"/>
  <c r="AV27" i="6" s="1"/>
  <c r="CC27" i="6" s="1"/>
  <c r="B21" i="5"/>
  <c r="B20" i="5"/>
  <c r="B19" i="5"/>
  <c r="B18" i="5"/>
  <c r="B17" i="5"/>
  <c r="B16" i="5"/>
  <c r="AF15" i="5"/>
  <c r="AF21" i="5" s="1"/>
  <c r="AA15" i="5"/>
  <c r="AA19" i="5" s="1"/>
  <c r="V15" i="5"/>
  <c r="V19" i="5" s="1"/>
  <c r="Q15" i="5"/>
  <c r="L15" i="5"/>
  <c r="L21" i="5" s="1"/>
  <c r="G15" i="5"/>
  <c r="B15" i="5"/>
  <c r="B73" i="5" s="1"/>
  <c r="B13" i="5"/>
  <c r="B12" i="5"/>
  <c r="B11" i="5"/>
  <c r="B10" i="5"/>
  <c r="B9" i="5"/>
  <c r="AF8" i="5"/>
  <c r="AF13" i="5" s="1"/>
  <c r="AA8" i="5"/>
  <c r="V8" i="5"/>
  <c r="V12" i="5" s="1"/>
  <c r="Q8" i="5"/>
  <c r="L8" i="5"/>
  <c r="G8" i="5"/>
  <c r="B8" i="5"/>
  <c r="AF72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B74" i="6"/>
  <c r="B73" i="6"/>
  <c r="B72" i="6"/>
  <c r="B71" i="6"/>
  <c r="B70" i="6"/>
  <c r="BN31" i="6"/>
  <c r="BN29" i="6"/>
  <c r="BN28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D27" i="6"/>
  <c r="CE27" i="6"/>
  <c r="CF27" i="6"/>
  <c r="CG27" i="6"/>
  <c r="CH27" i="6"/>
  <c r="CI27" i="6"/>
  <c r="CJ27" i="6"/>
  <c r="CK27" i="6"/>
  <c r="CL27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AX27" i="6"/>
  <c r="AY27" i="6"/>
  <c r="AZ27" i="6"/>
  <c r="BA27" i="6"/>
  <c r="BB27" i="6"/>
  <c r="BC27" i="6"/>
  <c r="BD27" i="6"/>
  <c r="BE27" i="6"/>
  <c r="BF27" i="6"/>
  <c r="AW27" i="6"/>
  <c r="AL27" i="6"/>
  <c r="AM27" i="6"/>
  <c r="AN27" i="6"/>
  <c r="AO27" i="6"/>
  <c r="AP27" i="6"/>
  <c r="AQ27" i="6"/>
  <c r="AR27" i="6"/>
  <c r="AS27" i="6"/>
  <c r="AT27" i="6"/>
  <c r="AU27" i="6"/>
  <c r="AK33" i="6"/>
  <c r="AJ33" i="6"/>
  <c r="AI33" i="6"/>
  <c r="AH33" i="6"/>
  <c r="AG33" i="6"/>
  <c r="AH37" i="6"/>
  <c r="AI37" i="6"/>
  <c r="AJ37" i="6"/>
  <c r="AK37" i="6"/>
  <c r="AG37" i="6"/>
  <c r="AK47" i="6"/>
  <c r="AJ47" i="6"/>
  <c r="AI47" i="6"/>
  <c r="AH47" i="6"/>
  <c r="AG47" i="6"/>
  <c r="AK43" i="6"/>
  <c r="AJ43" i="6"/>
  <c r="AI43" i="6"/>
  <c r="AH43" i="6"/>
  <c r="AG43" i="6"/>
  <c r="AK35" i="6"/>
  <c r="AJ35" i="6"/>
  <c r="AI35" i="6"/>
  <c r="AH35" i="6"/>
  <c r="AG35" i="6"/>
  <c r="AH27" i="6"/>
  <c r="AI27" i="6"/>
  <c r="AJ27" i="6"/>
  <c r="AK27" i="6"/>
  <c r="AG27" i="6"/>
  <c r="Q33" i="6"/>
  <c r="Q37" i="6"/>
  <c r="Q47" i="6"/>
  <c r="Q43" i="6"/>
  <c r="H47" i="6"/>
  <c r="I47" i="6"/>
  <c r="J47" i="6"/>
  <c r="K47" i="6"/>
  <c r="L47" i="6"/>
  <c r="M47" i="6"/>
  <c r="N47" i="6"/>
  <c r="O47" i="6"/>
  <c r="P47" i="6"/>
  <c r="H43" i="6"/>
  <c r="I43" i="6"/>
  <c r="J43" i="6"/>
  <c r="K43" i="6"/>
  <c r="L43" i="6"/>
  <c r="M43" i="6"/>
  <c r="N43" i="6"/>
  <c r="O43" i="6"/>
  <c r="P43" i="6"/>
  <c r="H37" i="6"/>
  <c r="I37" i="6"/>
  <c r="J37" i="6"/>
  <c r="K37" i="6"/>
  <c r="L37" i="6"/>
  <c r="M37" i="6"/>
  <c r="N37" i="6"/>
  <c r="O37" i="6"/>
  <c r="P37" i="6"/>
  <c r="H33" i="6"/>
  <c r="I33" i="6"/>
  <c r="J33" i="6"/>
  <c r="K33" i="6"/>
  <c r="L33" i="6"/>
  <c r="M33" i="6"/>
  <c r="N33" i="6"/>
  <c r="O33" i="6"/>
  <c r="P33" i="6"/>
  <c r="H27" i="6"/>
  <c r="I27" i="6"/>
  <c r="J27" i="6"/>
  <c r="K27" i="6"/>
  <c r="L27" i="6"/>
  <c r="M27" i="6"/>
  <c r="N27" i="6"/>
  <c r="O27" i="6"/>
  <c r="P27" i="6"/>
  <c r="A108" i="6"/>
  <c r="A104" i="6"/>
  <c r="A105" i="6" s="1"/>
  <c r="A106" i="6" s="1"/>
  <c r="A107" i="6" s="1"/>
  <c r="L57" i="6"/>
  <c r="Q57" i="6"/>
  <c r="V57" i="6"/>
  <c r="AA57" i="6"/>
  <c r="AB57" i="6"/>
  <c r="AF57" i="6"/>
  <c r="Q58" i="6"/>
  <c r="V58" i="6"/>
  <c r="AA58" i="6"/>
  <c r="AB58" i="6"/>
  <c r="AF58" i="6"/>
  <c r="Q59" i="6"/>
  <c r="R59" i="6"/>
  <c r="V59" i="6"/>
  <c r="AA59" i="6"/>
  <c r="AB59" i="6"/>
  <c r="AF59" i="6"/>
  <c r="Q60" i="6"/>
  <c r="V60" i="6"/>
  <c r="AA60" i="6"/>
  <c r="AB60" i="6"/>
  <c r="AE60" i="6"/>
  <c r="AF60" i="6"/>
  <c r="Q61" i="6"/>
  <c r="V61" i="6"/>
  <c r="AA61" i="6"/>
  <c r="AD61" i="6"/>
  <c r="AF61" i="6"/>
  <c r="AC56" i="6"/>
  <c r="AD56" i="6" s="1"/>
  <c r="AE56" i="6" s="1"/>
  <c r="AE57" i="6" s="1"/>
  <c r="AB56" i="6"/>
  <c r="AB61" i="6" s="1"/>
  <c r="W56" i="6"/>
  <c r="W57" i="6" s="1"/>
  <c r="R56" i="6"/>
  <c r="R60" i="6" s="1"/>
  <c r="AG65" i="6"/>
  <c r="AG58" i="6"/>
  <c r="AG59" i="6"/>
  <c r="AG60" i="6"/>
  <c r="AG61" i="6"/>
  <c r="AA29" i="6"/>
  <c r="V29" i="6"/>
  <c r="AA21" i="6"/>
  <c r="BG56" i="6"/>
  <c r="BH56" i="6"/>
  <c r="BI56" i="6"/>
  <c r="BJ56" i="6"/>
  <c r="BK56" i="6"/>
  <c r="W8" i="6"/>
  <c r="W9" i="6" s="1"/>
  <c r="AF23" i="6"/>
  <c r="AF47" i="6" s="1"/>
  <c r="AF15" i="6"/>
  <c r="AF17" i="6" s="1"/>
  <c r="AF8" i="6"/>
  <c r="AA23" i="6"/>
  <c r="AA45" i="6" s="1"/>
  <c r="AA15" i="6"/>
  <c r="AA16" i="6" s="1"/>
  <c r="AA8" i="6"/>
  <c r="AA12" i="6" s="1"/>
  <c r="V23" i="6"/>
  <c r="V45" i="6" s="1"/>
  <c r="V15" i="6"/>
  <c r="V16" i="6" s="1"/>
  <c r="V8" i="6"/>
  <c r="V10" i="6" s="1"/>
  <c r="Q23" i="6"/>
  <c r="Q29" i="6" s="1"/>
  <c r="Q15" i="6"/>
  <c r="Q16" i="6" s="1"/>
  <c r="Q8" i="6"/>
  <c r="Q13" i="6" s="1"/>
  <c r="G8" i="6"/>
  <c r="G12" i="6" s="1"/>
  <c r="L56" i="6"/>
  <c r="L58" i="6" s="1"/>
  <c r="L23" i="6"/>
  <c r="M23" i="6" s="1"/>
  <c r="L15" i="6"/>
  <c r="L21" i="6" s="1"/>
  <c r="L8" i="6"/>
  <c r="L11" i="6" s="1"/>
  <c r="AG57" i="6"/>
  <c r="G56" i="6"/>
  <c r="G58" i="6" s="1"/>
  <c r="G23" i="6"/>
  <c r="G15" i="6"/>
  <c r="G19" i="6" s="1"/>
  <c r="K35" i="15"/>
  <c r="L35" i="15"/>
  <c r="M35" i="15"/>
  <c r="N35" i="15"/>
  <c r="O35" i="15"/>
  <c r="P35" i="15"/>
  <c r="K34" i="15"/>
  <c r="L34" i="15"/>
  <c r="M34" i="15"/>
  <c r="N34" i="15"/>
  <c r="O34" i="15"/>
  <c r="P34" i="15"/>
  <c r="K33" i="15"/>
  <c r="L33" i="15"/>
  <c r="M33" i="15"/>
  <c r="N33" i="15"/>
  <c r="O33" i="15"/>
  <c r="P33" i="15"/>
  <c r="J27" i="15"/>
  <c r="J26" i="15"/>
  <c r="J25" i="15"/>
  <c r="K18" i="15"/>
  <c r="L18" i="15"/>
  <c r="M18" i="15"/>
  <c r="N18" i="15"/>
  <c r="O18" i="15"/>
  <c r="P18" i="15"/>
  <c r="K19" i="15"/>
  <c r="L19" i="15"/>
  <c r="M19" i="15"/>
  <c r="N19" i="15"/>
  <c r="O19" i="15"/>
  <c r="P19" i="15"/>
  <c r="K20" i="15"/>
  <c r="L20" i="15"/>
  <c r="M20" i="15"/>
  <c r="N20" i="15"/>
  <c r="O20" i="15"/>
  <c r="P20" i="15"/>
  <c r="K21" i="15"/>
  <c r="L21" i="15"/>
  <c r="M21" i="15"/>
  <c r="N21" i="15"/>
  <c r="O21" i="15"/>
  <c r="P21" i="15"/>
  <c r="J19" i="15"/>
  <c r="J20" i="15"/>
  <c r="J21" i="15"/>
  <c r="J18" i="15"/>
  <c r="C46" i="15"/>
  <c r="C45" i="15"/>
  <c r="J36" i="15"/>
  <c r="I14" i="15"/>
  <c r="J24" i="15" s="1"/>
  <c r="J28" i="15" s="1"/>
  <c r="J33" i="15"/>
  <c r="J34" i="15"/>
  <c r="J35" i="15"/>
  <c r="J38" i="15"/>
  <c r="B47" i="6"/>
  <c r="B50" i="6"/>
  <c r="B51" i="6"/>
  <c r="AG51" i="6" s="1"/>
  <c r="B52" i="6"/>
  <c r="AG52" i="6" s="1"/>
  <c r="B53" i="6"/>
  <c r="AG53" i="6" s="1"/>
  <c r="B54" i="6"/>
  <c r="B63" i="6"/>
  <c r="B64" i="6"/>
  <c r="AG64" i="6" s="1"/>
  <c r="B65" i="6"/>
  <c r="B66" i="6"/>
  <c r="AG66" i="6" s="1"/>
  <c r="B49" i="6"/>
  <c r="B39" i="6"/>
  <c r="B35" i="6"/>
  <c r="B29" i="6"/>
  <c r="B33" i="6" s="1"/>
  <c r="B25" i="6"/>
  <c r="B27" i="6" s="1"/>
  <c r="B23" i="6"/>
  <c r="B9" i="6"/>
  <c r="B10" i="6"/>
  <c r="B11" i="6"/>
  <c r="B12" i="6"/>
  <c r="AG12" i="6" s="1"/>
  <c r="B13" i="6"/>
  <c r="B15" i="6"/>
  <c r="C15" i="6" s="1"/>
  <c r="B16" i="6"/>
  <c r="B17" i="6"/>
  <c r="AG17" i="6" s="1"/>
  <c r="B18" i="6"/>
  <c r="AG18" i="6" s="1"/>
  <c r="B19" i="6"/>
  <c r="AG19" i="6" s="1"/>
  <c r="B20" i="6"/>
  <c r="B21" i="6"/>
  <c r="AG21" i="6" s="1"/>
  <c r="B8" i="6"/>
  <c r="D38" i="8"/>
  <c r="A217" i="16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M157" i="16"/>
  <c r="M164" i="16"/>
  <c r="B138" i="16"/>
  <c r="B139" i="16"/>
  <c r="B140" i="16"/>
  <c r="B141" i="16"/>
  <c r="B142" i="16"/>
  <c r="B144" i="16"/>
  <c r="B176" i="16" s="1"/>
  <c r="B145" i="16"/>
  <c r="B146" i="16"/>
  <c r="B147" i="16"/>
  <c r="B148" i="16"/>
  <c r="B149" i="16"/>
  <c r="B150" i="16"/>
  <c r="B152" i="16"/>
  <c r="B175" i="16" s="1"/>
  <c r="B153" i="16"/>
  <c r="B154" i="16"/>
  <c r="B155" i="16"/>
  <c r="B156" i="16"/>
  <c r="B158" i="16"/>
  <c r="B178" i="16" s="1"/>
  <c r="B159" i="16"/>
  <c r="B160" i="16"/>
  <c r="B161" i="16"/>
  <c r="B162" i="16"/>
  <c r="B163" i="16"/>
  <c r="B165" i="16"/>
  <c r="B174" i="16" s="1"/>
  <c r="B166" i="16"/>
  <c r="B167" i="16"/>
  <c r="B168" i="16"/>
  <c r="B137" i="16"/>
  <c r="B177" i="16" s="1"/>
  <c r="M126" i="16"/>
  <c r="AG165" i="16" s="1"/>
  <c r="N126" i="16"/>
  <c r="AH165" i="16" s="1"/>
  <c r="O126" i="16"/>
  <c r="AI165" i="16" s="1"/>
  <c r="P126" i="16"/>
  <c r="AJ165" i="16" s="1"/>
  <c r="Q126" i="16"/>
  <c r="AK165" i="16" s="1"/>
  <c r="R126" i="16"/>
  <c r="AL165" i="16" s="1"/>
  <c r="S126" i="16"/>
  <c r="AM165" i="16" s="1"/>
  <c r="T126" i="16"/>
  <c r="AN165" i="16" s="1"/>
  <c r="U126" i="16"/>
  <c r="AO165" i="16" s="1"/>
  <c r="V126" i="16"/>
  <c r="AP165" i="16" s="1"/>
  <c r="W126" i="16"/>
  <c r="AQ165" i="16" s="1"/>
  <c r="AT165" i="16" s="1"/>
  <c r="B92" i="16"/>
  <c r="L90" i="16"/>
  <c r="L126" i="16" s="1"/>
  <c r="L83" i="16"/>
  <c r="B81" i="16"/>
  <c r="L77" i="16"/>
  <c r="L113" i="16" s="1"/>
  <c r="G77" i="16"/>
  <c r="G113" i="16" s="1"/>
  <c r="G152" i="16" s="1"/>
  <c r="B77" i="16"/>
  <c r="B75" i="16"/>
  <c r="L69" i="16"/>
  <c r="L105" i="16" s="1"/>
  <c r="G69" i="16"/>
  <c r="G105" i="16" s="1"/>
  <c r="G144" i="16" s="1"/>
  <c r="G176" i="16" s="1"/>
  <c r="B69" i="16"/>
  <c r="B67" i="16"/>
  <c r="L62" i="16"/>
  <c r="L98" i="16" s="1"/>
  <c r="G62" i="16"/>
  <c r="G98" i="16" s="1"/>
  <c r="G137" i="16" s="1"/>
  <c r="G177" i="16" s="1"/>
  <c r="B62" i="16"/>
  <c r="W41" i="16"/>
  <c r="B54" i="16"/>
  <c r="B52" i="16"/>
  <c r="B91" i="16" s="1"/>
  <c r="F7" i="16"/>
  <c r="B7" i="16"/>
  <c r="M36" i="16"/>
  <c r="G36" i="16" s="1"/>
  <c r="R36" i="16" s="1"/>
  <c r="H31" i="16"/>
  <c r="C31" i="16"/>
  <c r="M29" i="16"/>
  <c r="L29" i="16" s="1"/>
  <c r="W29" i="16" s="1"/>
  <c r="H25" i="16"/>
  <c r="I25" i="16" s="1"/>
  <c r="C25" i="16"/>
  <c r="M23" i="16"/>
  <c r="L23" i="16" s="1"/>
  <c r="W23" i="16" s="1"/>
  <c r="H17" i="16"/>
  <c r="C17" i="16"/>
  <c r="D17" i="16" s="1"/>
  <c r="M15" i="16"/>
  <c r="L15" i="16" s="1"/>
  <c r="W15" i="16" s="1"/>
  <c r="H10" i="16"/>
  <c r="C10" i="16"/>
  <c r="D10" i="16" s="1"/>
  <c r="B35" i="16"/>
  <c r="M35" i="16" s="1"/>
  <c r="L35" i="16" s="1"/>
  <c r="W35" i="16" s="1"/>
  <c r="B34" i="16"/>
  <c r="M34" i="16" s="1"/>
  <c r="B33" i="16"/>
  <c r="M33" i="16" s="1"/>
  <c r="B32" i="16"/>
  <c r="M32" i="16" s="1"/>
  <c r="B28" i="16"/>
  <c r="M28" i="16" s="1"/>
  <c r="B27" i="16"/>
  <c r="M27" i="16" s="1"/>
  <c r="G27" i="16" s="1"/>
  <c r="R27" i="16" s="1"/>
  <c r="B26" i="16"/>
  <c r="M26" i="16" s="1"/>
  <c r="L26" i="16" s="1"/>
  <c r="W26" i="16" s="1"/>
  <c r="B22" i="16"/>
  <c r="M22" i="16" s="1"/>
  <c r="B21" i="16"/>
  <c r="M21" i="16" s="1"/>
  <c r="B20" i="16"/>
  <c r="M20" i="16" s="1"/>
  <c r="B19" i="16"/>
  <c r="M19" i="16" s="1"/>
  <c r="B18" i="16"/>
  <c r="M18" i="16" s="1"/>
  <c r="B14" i="16"/>
  <c r="M14" i="16" s="1"/>
  <c r="B13" i="16"/>
  <c r="M13" i="16" s="1"/>
  <c r="B12" i="16"/>
  <c r="M12" i="16" s="1"/>
  <c r="L12" i="16" s="1"/>
  <c r="W12" i="16" s="1"/>
  <c r="B11" i="16"/>
  <c r="M11" i="16" s="1"/>
  <c r="O24" i="15" l="1"/>
  <c r="O28" i="15" s="1"/>
  <c r="O36" i="15" s="1"/>
  <c r="V25" i="5"/>
  <c r="AG12" i="5"/>
  <c r="C47" i="5"/>
  <c r="AL47" i="5"/>
  <c r="BT31" i="5" s="1"/>
  <c r="AA12" i="5"/>
  <c r="V10" i="5"/>
  <c r="Q20" i="5"/>
  <c r="Q73" i="5"/>
  <c r="L17" i="5"/>
  <c r="AA21" i="5"/>
  <c r="AG25" i="5"/>
  <c r="R23" i="5"/>
  <c r="Q72" i="5"/>
  <c r="AV33" i="5"/>
  <c r="CD30" i="5" s="1"/>
  <c r="AV47" i="5"/>
  <c r="CD31" i="5" s="1"/>
  <c r="AV37" i="5"/>
  <c r="CD28" i="5" s="1"/>
  <c r="AV27" i="5"/>
  <c r="CD27" i="5" s="1"/>
  <c r="AV43" i="5"/>
  <c r="CD29" i="5" s="1"/>
  <c r="AB8" i="5"/>
  <c r="AB13" i="5" s="1"/>
  <c r="AF10" i="5"/>
  <c r="AF12" i="5"/>
  <c r="W15" i="5"/>
  <c r="W73" i="5" s="1"/>
  <c r="V73" i="5"/>
  <c r="V17" i="5"/>
  <c r="G25" i="5"/>
  <c r="G27" i="5" s="1"/>
  <c r="AL27" i="5" s="1"/>
  <c r="BT27" i="5" s="1"/>
  <c r="B37" i="5"/>
  <c r="AG37" i="5" s="1"/>
  <c r="BO28" i="5" s="1"/>
  <c r="AG35" i="5"/>
  <c r="W23" i="5"/>
  <c r="V72" i="5"/>
  <c r="Q29" i="5"/>
  <c r="AG10" i="5"/>
  <c r="AB15" i="5"/>
  <c r="AB17" i="5" s="1"/>
  <c r="AA17" i="5"/>
  <c r="AG20" i="5"/>
  <c r="AG39" i="5"/>
  <c r="AB23" i="5"/>
  <c r="AA35" i="5"/>
  <c r="V39" i="5"/>
  <c r="Q45" i="5"/>
  <c r="C8" i="5"/>
  <c r="B74" i="5"/>
  <c r="AG18" i="5"/>
  <c r="L20" i="5"/>
  <c r="B72" i="5"/>
  <c r="AG45" i="5"/>
  <c r="AG27" i="5"/>
  <c r="BO27" i="5" s="1"/>
  <c r="G39" i="5"/>
  <c r="G43" i="5" s="1"/>
  <c r="AL43" i="5" s="1"/>
  <c r="BT29" i="5" s="1"/>
  <c r="AF29" i="5"/>
  <c r="AF47" i="5"/>
  <c r="AF39" i="5"/>
  <c r="AF25" i="5"/>
  <c r="AF33" i="5"/>
  <c r="AF43" i="5"/>
  <c r="AF35" i="5"/>
  <c r="AF45" i="5"/>
  <c r="AF27" i="5"/>
  <c r="H8" i="5"/>
  <c r="H74" i="5" s="1"/>
  <c r="G74" i="5"/>
  <c r="AA9" i="5"/>
  <c r="AA11" i="5"/>
  <c r="AA13" i="5"/>
  <c r="AG16" i="5"/>
  <c r="L18" i="5"/>
  <c r="AF20" i="5"/>
  <c r="D23" i="5"/>
  <c r="C72" i="5"/>
  <c r="AG29" i="5"/>
  <c r="Q35" i="5"/>
  <c r="L13" i="5"/>
  <c r="L74" i="5"/>
  <c r="L16" i="5"/>
  <c r="AF18" i="5"/>
  <c r="AG21" i="5"/>
  <c r="G35" i="5"/>
  <c r="C35" i="5" s="1"/>
  <c r="G72" i="5"/>
  <c r="AA25" i="5"/>
  <c r="AA39" i="5"/>
  <c r="V45" i="5"/>
  <c r="R8" i="5"/>
  <c r="R74" i="5" s="1"/>
  <c r="Q74" i="5"/>
  <c r="G10" i="5"/>
  <c r="C10" i="5" s="1"/>
  <c r="AH10" i="5" s="1"/>
  <c r="G12" i="5"/>
  <c r="C12" i="5" s="1"/>
  <c r="D12" i="5" s="1"/>
  <c r="H15" i="5"/>
  <c r="H73" i="5" s="1"/>
  <c r="G73" i="5"/>
  <c r="AF16" i="5"/>
  <c r="AG19" i="5"/>
  <c r="H23" i="5"/>
  <c r="G29" i="5"/>
  <c r="G33" i="5" s="1"/>
  <c r="AL33" i="5" s="1"/>
  <c r="BT30" i="5" s="1"/>
  <c r="AG47" i="5"/>
  <c r="BO31" i="5" s="1"/>
  <c r="W8" i="5"/>
  <c r="W74" i="5" s="1"/>
  <c r="V74" i="5"/>
  <c r="Q10" i="5"/>
  <c r="Q12" i="5"/>
  <c r="M15" i="5"/>
  <c r="M73" i="5" s="1"/>
  <c r="L73" i="5"/>
  <c r="AG17" i="5"/>
  <c r="L19" i="5"/>
  <c r="V21" i="5"/>
  <c r="L39" i="5"/>
  <c r="L43" i="5" s="1"/>
  <c r="AQ43" i="5" s="1"/>
  <c r="BY29" i="5" s="1"/>
  <c r="L72" i="5"/>
  <c r="B33" i="5"/>
  <c r="AA29" i="5"/>
  <c r="V35" i="5"/>
  <c r="Q39" i="5"/>
  <c r="P24" i="15"/>
  <c r="P28" i="15" s="1"/>
  <c r="P36" i="15" s="1"/>
  <c r="N24" i="15"/>
  <c r="N28" i="15" s="1"/>
  <c r="N36" i="15" s="1"/>
  <c r="M24" i="15"/>
  <c r="L24" i="15"/>
  <c r="K24" i="15"/>
  <c r="K38" i="15" s="1"/>
  <c r="P38" i="15"/>
  <c r="O38" i="15"/>
  <c r="N38" i="15"/>
  <c r="C27" i="5"/>
  <c r="L35" i="5"/>
  <c r="L37" i="5" s="1"/>
  <c r="AQ37" i="5" s="1"/>
  <c r="BY28" i="5" s="1"/>
  <c r="I23" i="5"/>
  <c r="I72" i="5" s="1"/>
  <c r="L29" i="5"/>
  <c r="L33" i="5" s="1"/>
  <c r="AQ33" i="5" s="1"/>
  <c r="BY30" i="5" s="1"/>
  <c r="H39" i="5"/>
  <c r="H43" i="5" s="1"/>
  <c r="AM43" i="5" s="1"/>
  <c r="BU29" i="5" s="1"/>
  <c r="C45" i="5"/>
  <c r="B43" i="5"/>
  <c r="L45" i="5"/>
  <c r="L47" i="5" s="1"/>
  <c r="AQ47" i="5" s="1"/>
  <c r="BY31" i="5" s="1"/>
  <c r="AB19" i="5"/>
  <c r="R13" i="5"/>
  <c r="R11" i="5"/>
  <c r="R12" i="5"/>
  <c r="AH12" i="5"/>
  <c r="I15" i="5"/>
  <c r="I73" i="5" s="1"/>
  <c r="W12" i="5"/>
  <c r="W9" i="5"/>
  <c r="M16" i="5"/>
  <c r="M8" i="5"/>
  <c r="M74" i="5" s="1"/>
  <c r="AC8" i="5"/>
  <c r="V9" i="5"/>
  <c r="V11" i="5"/>
  <c r="V13" i="5"/>
  <c r="R15" i="5"/>
  <c r="R73" i="5" s="1"/>
  <c r="AA16" i="5"/>
  <c r="AA18" i="5"/>
  <c r="G19" i="5"/>
  <c r="C19" i="5" s="1"/>
  <c r="AA20" i="5"/>
  <c r="AA10" i="5"/>
  <c r="C15" i="5"/>
  <c r="AF17" i="5"/>
  <c r="AF19" i="5"/>
  <c r="AF9" i="5"/>
  <c r="L10" i="5"/>
  <c r="AB10" i="5"/>
  <c r="AF11" i="5"/>
  <c r="L12" i="5"/>
  <c r="AB12" i="5"/>
  <c r="Q17" i="5"/>
  <c r="Q19" i="5"/>
  <c r="Q21" i="5"/>
  <c r="Q9" i="5"/>
  <c r="AG9" i="5"/>
  <c r="Q11" i="5"/>
  <c r="AG11" i="5"/>
  <c r="Q13" i="5"/>
  <c r="AG13" i="5"/>
  <c r="V16" i="5"/>
  <c r="V18" i="5"/>
  <c r="V20" i="5"/>
  <c r="G18" i="5"/>
  <c r="C18" i="5" s="1"/>
  <c r="L9" i="5"/>
  <c r="L11" i="5"/>
  <c r="Q16" i="5"/>
  <c r="Q18" i="5"/>
  <c r="G20" i="5"/>
  <c r="C20" i="5" s="1"/>
  <c r="G16" i="5"/>
  <c r="C16" i="5" s="1"/>
  <c r="G17" i="5"/>
  <c r="C17" i="5" s="1"/>
  <c r="G21" i="5"/>
  <c r="C21" i="5" s="1"/>
  <c r="G9" i="5"/>
  <c r="C9" i="5" s="1"/>
  <c r="G11" i="5"/>
  <c r="C11" i="5" s="1"/>
  <c r="G13" i="5"/>
  <c r="C13" i="5" s="1"/>
  <c r="G13" i="6"/>
  <c r="Q21" i="6"/>
  <c r="Q35" i="6"/>
  <c r="X56" i="6"/>
  <c r="AE61" i="6"/>
  <c r="W61" i="6"/>
  <c r="R58" i="6"/>
  <c r="R57" i="6"/>
  <c r="Q12" i="6"/>
  <c r="AA19" i="6"/>
  <c r="V39" i="6"/>
  <c r="H56" i="6"/>
  <c r="AC61" i="6"/>
  <c r="AD60" i="6"/>
  <c r="AE59" i="6"/>
  <c r="W59" i="6"/>
  <c r="W12" i="6"/>
  <c r="AG9" i="6"/>
  <c r="L18" i="6"/>
  <c r="L39" i="6"/>
  <c r="G61" i="6"/>
  <c r="L61" i="6"/>
  <c r="AC60" i="6"/>
  <c r="AD59" i="6"/>
  <c r="AE58" i="6"/>
  <c r="W58" i="6"/>
  <c r="AG11" i="6"/>
  <c r="L20" i="6"/>
  <c r="W60" i="6"/>
  <c r="G20" i="6"/>
  <c r="C20" i="6" s="1"/>
  <c r="AA11" i="6"/>
  <c r="AF16" i="6"/>
  <c r="AF39" i="6"/>
  <c r="AG54" i="6"/>
  <c r="G60" i="6"/>
  <c r="L60" i="6"/>
  <c r="AC59" i="6"/>
  <c r="AD58" i="6"/>
  <c r="W13" i="6"/>
  <c r="G18" i="6"/>
  <c r="V9" i="6"/>
  <c r="Q11" i="6"/>
  <c r="AF25" i="6"/>
  <c r="S56" i="6"/>
  <c r="G59" i="6"/>
  <c r="R61" i="6"/>
  <c r="L59" i="6"/>
  <c r="AC58" i="6"/>
  <c r="AD57" i="6"/>
  <c r="R8" i="6"/>
  <c r="L9" i="6"/>
  <c r="AA10" i="6"/>
  <c r="V25" i="6"/>
  <c r="M56" i="6"/>
  <c r="AC57" i="6"/>
  <c r="G45" i="6"/>
  <c r="H23" i="6"/>
  <c r="AG50" i="6"/>
  <c r="C56" i="6"/>
  <c r="D56" i="6" s="1"/>
  <c r="E56" i="6" s="1"/>
  <c r="F56" i="6" s="1"/>
  <c r="G57" i="6"/>
  <c r="C57" i="6" s="1"/>
  <c r="G10" i="6"/>
  <c r="C10" i="6" s="1"/>
  <c r="D10" i="6" s="1"/>
  <c r="G11" i="6"/>
  <c r="C11" i="6" s="1"/>
  <c r="H8" i="6"/>
  <c r="V19" i="6"/>
  <c r="W15" i="6"/>
  <c r="V20" i="6"/>
  <c r="V21" i="6"/>
  <c r="V17" i="6"/>
  <c r="AF13" i="6"/>
  <c r="AF9" i="6"/>
  <c r="AF10" i="6"/>
  <c r="AF11" i="6"/>
  <c r="AF12" i="6"/>
  <c r="M45" i="6"/>
  <c r="M35" i="6"/>
  <c r="M29" i="6"/>
  <c r="M25" i="6"/>
  <c r="M39" i="6"/>
  <c r="N23" i="6"/>
  <c r="R12" i="6"/>
  <c r="R13" i="6"/>
  <c r="R9" i="6"/>
  <c r="R10" i="6"/>
  <c r="R11" i="6"/>
  <c r="S8" i="6"/>
  <c r="C39" i="6"/>
  <c r="V18" i="6"/>
  <c r="AG10" i="6"/>
  <c r="V13" i="6"/>
  <c r="L10" i="6"/>
  <c r="AB15" i="6"/>
  <c r="AA20" i="6"/>
  <c r="L19" i="6"/>
  <c r="C25" i="6"/>
  <c r="R23" i="6"/>
  <c r="AF29" i="6"/>
  <c r="AF35" i="6"/>
  <c r="Q45" i="6"/>
  <c r="AF43" i="6"/>
  <c r="AA9" i="6"/>
  <c r="L13" i="6"/>
  <c r="V12" i="6"/>
  <c r="M15" i="6"/>
  <c r="AF21" i="6"/>
  <c r="Q20" i="6"/>
  <c r="AA18" i="6"/>
  <c r="L17" i="6"/>
  <c r="B37" i="6"/>
  <c r="W23" i="6"/>
  <c r="V35" i="6"/>
  <c r="AA39" i="6"/>
  <c r="AF45" i="6"/>
  <c r="G17" i="6"/>
  <c r="X8" i="6"/>
  <c r="AA13" i="6"/>
  <c r="W11" i="6"/>
  <c r="Q10" i="6"/>
  <c r="AF20" i="6"/>
  <c r="Q19" i="6"/>
  <c r="AA17" i="6"/>
  <c r="L16" i="6"/>
  <c r="L25" i="6"/>
  <c r="L29" i="6"/>
  <c r="AF37" i="6"/>
  <c r="AF33" i="6"/>
  <c r="C23" i="6"/>
  <c r="D23" i="6" s="1"/>
  <c r="E23" i="6" s="1"/>
  <c r="F23" i="6" s="1"/>
  <c r="AG45" i="6"/>
  <c r="AB8" i="6"/>
  <c r="Q9" i="6"/>
  <c r="L12" i="6"/>
  <c r="V11" i="6"/>
  <c r="R15" i="6"/>
  <c r="AF19" i="6"/>
  <c r="Q18" i="6"/>
  <c r="AB23" i="6"/>
  <c r="AA25" i="6"/>
  <c r="L35" i="6"/>
  <c r="Q39" i="6"/>
  <c r="AG13" i="6"/>
  <c r="M8" i="6"/>
  <c r="W10" i="6"/>
  <c r="AF18" i="6"/>
  <c r="Q17" i="6"/>
  <c r="AA35" i="6"/>
  <c r="L45" i="6"/>
  <c r="AF27" i="6"/>
  <c r="AG39" i="6"/>
  <c r="H15" i="6"/>
  <c r="Q25" i="6"/>
  <c r="G25" i="6"/>
  <c r="G27" i="6" s="1"/>
  <c r="C27" i="6" s="1"/>
  <c r="D27" i="6" s="1"/>
  <c r="E27" i="6" s="1"/>
  <c r="F27" i="6" s="1"/>
  <c r="C19" i="6"/>
  <c r="AH19" i="6" s="1"/>
  <c r="AG16" i="6"/>
  <c r="G29" i="6"/>
  <c r="G33" i="6" s="1"/>
  <c r="C33" i="6" s="1"/>
  <c r="D33" i="6" s="1"/>
  <c r="E33" i="6" s="1"/>
  <c r="F33" i="6" s="1"/>
  <c r="C18" i="6"/>
  <c r="D18" i="6" s="1"/>
  <c r="D20" i="6"/>
  <c r="E20" i="6" s="1"/>
  <c r="F20" i="6" s="1"/>
  <c r="AG25" i="6"/>
  <c r="G16" i="6"/>
  <c r="C16" i="6" s="1"/>
  <c r="D16" i="6" s="1"/>
  <c r="G35" i="6"/>
  <c r="G37" i="6" s="1"/>
  <c r="AG20" i="6"/>
  <c r="C17" i="6"/>
  <c r="D17" i="6" s="1"/>
  <c r="AG29" i="6"/>
  <c r="G21" i="6"/>
  <c r="C21" i="6" s="1"/>
  <c r="D21" i="6" s="1"/>
  <c r="E21" i="6" s="1"/>
  <c r="F21" i="6" s="1"/>
  <c r="G39" i="6"/>
  <c r="G43" i="6" s="1"/>
  <c r="C8" i="6"/>
  <c r="D8" i="6" s="1"/>
  <c r="E8" i="6" s="1"/>
  <c r="F8" i="6" s="1"/>
  <c r="G9" i="6"/>
  <c r="C9" i="6" s="1"/>
  <c r="D9" i="6" s="1"/>
  <c r="C13" i="6"/>
  <c r="C12" i="6"/>
  <c r="AH12" i="6" s="1"/>
  <c r="AH20" i="6"/>
  <c r="AH18" i="6"/>
  <c r="D15" i="6"/>
  <c r="B43" i="6"/>
  <c r="BA165" i="16"/>
  <c r="AZ165" i="16"/>
  <c r="AX165" i="16"/>
  <c r="BJ165" i="16"/>
  <c r="AU165" i="16"/>
  <c r="BC165" i="16"/>
  <c r="BK165" i="16"/>
  <c r="AV165" i="16"/>
  <c r="BD165" i="16"/>
  <c r="AW165" i="16"/>
  <c r="BE165" i="16"/>
  <c r="AY165" i="16"/>
  <c r="BG165" i="16"/>
  <c r="C152" i="16"/>
  <c r="G175" i="16"/>
  <c r="BI165" i="16"/>
  <c r="AS165" i="16"/>
  <c r="BH165" i="16"/>
  <c r="AR165" i="16"/>
  <c r="BF165" i="16"/>
  <c r="BB165" i="16"/>
  <c r="L137" i="16"/>
  <c r="L152" i="16"/>
  <c r="H98" i="16"/>
  <c r="C144" i="16"/>
  <c r="M25" i="16"/>
  <c r="L144" i="16"/>
  <c r="H105" i="16"/>
  <c r="H113" i="16"/>
  <c r="I113" i="16" s="1"/>
  <c r="C137" i="16"/>
  <c r="L165" i="16"/>
  <c r="C29" i="16"/>
  <c r="N29" i="16" s="1"/>
  <c r="B73" i="16"/>
  <c r="M73" i="16" s="1"/>
  <c r="C62" i="16"/>
  <c r="D62" i="16" s="1"/>
  <c r="H62" i="16"/>
  <c r="B65" i="16"/>
  <c r="M65" i="16" s="1"/>
  <c r="B63" i="16"/>
  <c r="B64" i="16"/>
  <c r="B70" i="16"/>
  <c r="B71" i="16"/>
  <c r="B78" i="16"/>
  <c r="B93" i="16"/>
  <c r="B66" i="16"/>
  <c r="B72" i="16"/>
  <c r="B79" i="16"/>
  <c r="B51" i="16"/>
  <c r="M54" i="16" s="1"/>
  <c r="L54" i="16" s="1"/>
  <c r="W54" i="16" s="1"/>
  <c r="B80" i="16"/>
  <c r="C69" i="16"/>
  <c r="M67" i="16"/>
  <c r="B74" i="16"/>
  <c r="M81" i="16"/>
  <c r="L119" i="16"/>
  <c r="C77" i="16"/>
  <c r="H69" i="16"/>
  <c r="M75" i="16"/>
  <c r="H77" i="16"/>
  <c r="H15" i="16"/>
  <c r="S15" i="16" s="1"/>
  <c r="D23" i="16"/>
  <c r="O23" i="16" s="1"/>
  <c r="G28" i="16"/>
  <c r="L28" i="16"/>
  <c r="I28" i="16"/>
  <c r="L18" i="16"/>
  <c r="W18" i="16" s="1"/>
  <c r="G18" i="16"/>
  <c r="R18" i="16" s="1"/>
  <c r="M31" i="16"/>
  <c r="L32" i="16"/>
  <c r="W32" i="16" s="1"/>
  <c r="L42" i="16" s="1"/>
  <c r="W42" i="16" s="1"/>
  <c r="G32" i="16"/>
  <c r="R32" i="16" s="1"/>
  <c r="C18" i="16"/>
  <c r="N18" i="16" s="1"/>
  <c r="L19" i="16"/>
  <c r="W19" i="16" s="1"/>
  <c r="G19" i="16"/>
  <c r="R19" i="16" s="1"/>
  <c r="L33" i="16"/>
  <c r="W33" i="16" s="1"/>
  <c r="G33" i="16"/>
  <c r="R33" i="16" s="1"/>
  <c r="L20" i="16"/>
  <c r="W20" i="16" s="1"/>
  <c r="G20" i="16"/>
  <c r="R20" i="16" s="1"/>
  <c r="L34" i="16"/>
  <c r="W34" i="16" s="1"/>
  <c r="G34" i="16"/>
  <c r="R34" i="16" s="1"/>
  <c r="L21" i="16"/>
  <c r="W21" i="16" s="1"/>
  <c r="G21" i="16"/>
  <c r="R21" i="16" s="1"/>
  <c r="G13" i="16"/>
  <c r="R13" i="16" s="1"/>
  <c r="H13" i="16"/>
  <c r="S13" i="16" s="1"/>
  <c r="H14" i="16"/>
  <c r="S14" i="16" s="1"/>
  <c r="L14" i="16"/>
  <c r="W14" i="16" s="1"/>
  <c r="G14" i="16"/>
  <c r="R14" i="16" s="1"/>
  <c r="C14" i="16"/>
  <c r="N14" i="16" s="1"/>
  <c r="L22" i="16"/>
  <c r="W22" i="16" s="1"/>
  <c r="G22" i="16"/>
  <c r="R22" i="16" s="1"/>
  <c r="H34" i="16"/>
  <c r="S34" i="16" s="1"/>
  <c r="D18" i="16"/>
  <c r="O18" i="16" s="1"/>
  <c r="H27" i="16"/>
  <c r="S27" i="16" s="1"/>
  <c r="G29" i="16"/>
  <c r="G15" i="16"/>
  <c r="R15" i="16" s="1"/>
  <c r="D20" i="16"/>
  <c r="O20" i="16" s="1"/>
  <c r="I10" i="16"/>
  <c r="J10" i="16" s="1"/>
  <c r="J11" i="16" s="1"/>
  <c r="U11" i="16" s="1"/>
  <c r="C28" i="16"/>
  <c r="H19" i="16"/>
  <c r="S19" i="16" s="1"/>
  <c r="G11" i="16"/>
  <c r="R11" i="16" s="1"/>
  <c r="C32" i="16"/>
  <c r="N32" i="16" s="1"/>
  <c r="H26" i="16"/>
  <c r="S26" i="16" s="1"/>
  <c r="H11" i="16"/>
  <c r="S11" i="16" s="1"/>
  <c r="C20" i="16"/>
  <c r="N20" i="16" s="1"/>
  <c r="H28" i="16"/>
  <c r="D31" i="16"/>
  <c r="D36" i="16" s="1"/>
  <c r="O36" i="16" s="1"/>
  <c r="D15" i="16"/>
  <c r="O15" i="16" s="1"/>
  <c r="E10" i="16"/>
  <c r="E12" i="16" s="1"/>
  <c r="P12" i="16" s="1"/>
  <c r="D14" i="16"/>
  <c r="O14" i="16" s="1"/>
  <c r="C11" i="16"/>
  <c r="N11" i="16" s="1"/>
  <c r="H21" i="16"/>
  <c r="S21" i="16" s="1"/>
  <c r="C22" i="16"/>
  <c r="N22" i="16" s="1"/>
  <c r="J25" i="16"/>
  <c r="I27" i="16"/>
  <c r="T27" i="16" s="1"/>
  <c r="I31" i="16"/>
  <c r="H33" i="16"/>
  <c r="S33" i="16" s="1"/>
  <c r="C34" i="16"/>
  <c r="N34" i="16" s="1"/>
  <c r="H36" i="16"/>
  <c r="S36" i="16" s="1"/>
  <c r="D11" i="16"/>
  <c r="O11" i="16" s="1"/>
  <c r="L11" i="16"/>
  <c r="W11" i="16" s="1"/>
  <c r="G12" i="16"/>
  <c r="R12" i="16" s="1"/>
  <c r="M17" i="16"/>
  <c r="H18" i="16"/>
  <c r="S18" i="16" s="1"/>
  <c r="C19" i="16"/>
  <c r="N19" i="16" s="1"/>
  <c r="D22" i="16"/>
  <c r="O22" i="16" s="1"/>
  <c r="G23" i="16"/>
  <c r="R23" i="16" s="1"/>
  <c r="G26" i="16"/>
  <c r="R26" i="16" s="1"/>
  <c r="H29" i="16"/>
  <c r="G35" i="16"/>
  <c r="R35" i="16" s="1"/>
  <c r="H12" i="16"/>
  <c r="S12" i="16" s="1"/>
  <c r="C13" i="16"/>
  <c r="N13" i="16" s="1"/>
  <c r="D19" i="16"/>
  <c r="O19" i="16" s="1"/>
  <c r="H23" i="16"/>
  <c r="S23" i="16" s="1"/>
  <c r="C27" i="16"/>
  <c r="N27" i="16" s="1"/>
  <c r="I29" i="16"/>
  <c r="H35" i="16"/>
  <c r="S35" i="16" s="1"/>
  <c r="C36" i="16"/>
  <c r="N36" i="16" s="1"/>
  <c r="D13" i="16"/>
  <c r="O13" i="16" s="1"/>
  <c r="L13" i="16"/>
  <c r="W13" i="16" s="1"/>
  <c r="E17" i="16"/>
  <c r="H20" i="16"/>
  <c r="S20" i="16" s="1"/>
  <c r="C21" i="16"/>
  <c r="N21" i="16" s="1"/>
  <c r="D25" i="16"/>
  <c r="I26" i="16"/>
  <c r="T26" i="16" s="1"/>
  <c r="L27" i="16"/>
  <c r="W27" i="16" s="1"/>
  <c r="H32" i="16"/>
  <c r="S32" i="16" s="1"/>
  <c r="C33" i="16"/>
  <c r="N33" i="16" s="1"/>
  <c r="L36" i="16"/>
  <c r="W36" i="16" s="1"/>
  <c r="C15" i="16"/>
  <c r="N15" i="16" s="1"/>
  <c r="D21" i="16"/>
  <c r="O21" i="16" s="1"/>
  <c r="M10" i="16"/>
  <c r="C12" i="16"/>
  <c r="N12" i="16" s="1"/>
  <c r="H22" i="16"/>
  <c r="S22" i="16" s="1"/>
  <c r="C23" i="16"/>
  <c r="N23" i="16" s="1"/>
  <c r="C26" i="16"/>
  <c r="N26" i="16" s="1"/>
  <c r="C35" i="16"/>
  <c r="N35" i="16" s="1"/>
  <c r="D12" i="16"/>
  <c r="O12" i="16" s="1"/>
  <c r="I17" i="16"/>
  <c r="K28" i="15" l="1"/>
  <c r="K36" i="15" s="1"/>
  <c r="G49" i="6" s="1"/>
  <c r="AF63" i="6"/>
  <c r="AF63" i="7"/>
  <c r="AF63" i="5"/>
  <c r="G63" i="6"/>
  <c r="C63" i="6" s="1"/>
  <c r="G63" i="7"/>
  <c r="G63" i="5"/>
  <c r="V49" i="6"/>
  <c r="V49" i="7"/>
  <c r="V49" i="5"/>
  <c r="V63" i="6"/>
  <c r="V64" i="6" s="1"/>
  <c r="V63" i="7"/>
  <c r="V63" i="5"/>
  <c r="AF49" i="6"/>
  <c r="AF49" i="7"/>
  <c r="AF49" i="5"/>
  <c r="AA63" i="6"/>
  <c r="AA63" i="7"/>
  <c r="AA63" i="5"/>
  <c r="AA49" i="6"/>
  <c r="AA49" i="7"/>
  <c r="AA49" i="5"/>
  <c r="M17" i="5"/>
  <c r="AB21" i="5"/>
  <c r="M21" i="5"/>
  <c r="AB16" i="5"/>
  <c r="W20" i="5"/>
  <c r="AB18" i="5"/>
  <c r="X15" i="5"/>
  <c r="X73" i="5" s="1"/>
  <c r="W16" i="5"/>
  <c r="AB20" i="5"/>
  <c r="M19" i="5"/>
  <c r="AC15" i="5"/>
  <c r="C39" i="5"/>
  <c r="C25" i="5"/>
  <c r="D25" i="5" s="1"/>
  <c r="D35" i="5"/>
  <c r="AH35" i="5"/>
  <c r="H29" i="5"/>
  <c r="H33" i="5" s="1"/>
  <c r="AM33" i="5" s="1"/>
  <c r="BU30" i="5" s="1"/>
  <c r="H72" i="5"/>
  <c r="H45" i="5"/>
  <c r="H47" i="5" s="1"/>
  <c r="AM47" i="5" s="1"/>
  <c r="BU31" i="5" s="1"/>
  <c r="W11" i="5"/>
  <c r="S8" i="5"/>
  <c r="S74" i="5" s="1"/>
  <c r="H35" i="5"/>
  <c r="H37" i="5" s="1"/>
  <c r="AM37" i="5" s="1"/>
  <c r="BU28" i="5" s="1"/>
  <c r="AH25" i="5"/>
  <c r="D27" i="5"/>
  <c r="AH27" i="5"/>
  <c r="BP27" i="5" s="1"/>
  <c r="C33" i="5"/>
  <c r="AG33" i="5"/>
  <c r="BO30" i="5" s="1"/>
  <c r="D47" i="5"/>
  <c r="AH47" i="5"/>
  <c r="BP31" i="5" s="1"/>
  <c r="M20" i="5"/>
  <c r="X8" i="5"/>
  <c r="X74" i="5" s="1"/>
  <c r="D10" i="5"/>
  <c r="E10" i="5" s="1"/>
  <c r="W19" i="5"/>
  <c r="C43" i="5"/>
  <c r="AG43" i="5"/>
  <c r="BO29" i="5" s="1"/>
  <c r="G37" i="5"/>
  <c r="D8" i="5"/>
  <c r="C74" i="5"/>
  <c r="H25" i="5"/>
  <c r="H27" i="5" s="1"/>
  <c r="AM27" i="5" s="1"/>
  <c r="BU27" i="5" s="1"/>
  <c r="M18" i="5"/>
  <c r="I8" i="5"/>
  <c r="I74" i="5" s="1"/>
  <c r="W17" i="5"/>
  <c r="AB11" i="5"/>
  <c r="N15" i="5"/>
  <c r="N73" i="5" s="1"/>
  <c r="W10" i="5"/>
  <c r="R10" i="5"/>
  <c r="W21" i="5"/>
  <c r="D45" i="5"/>
  <c r="AH45" i="5"/>
  <c r="C29" i="5"/>
  <c r="AC23" i="5"/>
  <c r="AB43" i="5"/>
  <c r="AB27" i="5"/>
  <c r="AB35" i="5"/>
  <c r="AB45" i="5"/>
  <c r="AB29" i="5"/>
  <c r="AB47" i="5"/>
  <c r="AB25" i="5"/>
  <c r="AB33" i="5"/>
  <c r="AB39" i="5"/>
  <c r="D15" i="5"/>
  <c r="C73" i="5"/>
  <c r="AB9" i="5"/>
  <c r="R9" i="5"/>
  <c r="W18" i="5"/>
  <c r="E23" i="5"/>
  <c r="D72" i="5"/>
  <c r="D39" i="5"/>
  <c r="AH39" i="5"/>
  <c r="X23" i="5"/>
  <c r="W72" i="5"/>
  <c r="W35" i="5"/>
  <c r="W45" i="5"/>
  <c r="W29" i="5"/>
  <c r="W39" i="5"/>
  <c r="W25" i="5"/>
  <c r="S23" i="5"/>
  <c r="R72" i="5"/>
  <c r="R39" i="5"/>
  <c r="R25" i="5"/>
  <c r="R35" i="5"/>
  <c r="R45" i="5"/>
  <c r="R29" i="5"/>
  <c r="W13" i="5"/>
  <c r="G66" i="6"/>
  <c r="C66" i="6" s="1"/>
  <c r="D66" i="6" s="1"/>
  <c r="L28" i="15"/>
  <c r="L36" i="15" s="1"/>
  <c r="L38" i="15"/>
  <c r="M38" i="15"/>
  <c r="M28" i="15"/>
  <c r="M36" i="15" s="1"/>
  <c r="V66" i="6"/>
  <c r="AF64" i="6"/>
  <c r="AF71" i="6"/>
  <c r="AF65" i="6"/>
  <c r="AF66" i="6"/>
  <c r="AA71" i="6"/>
  <c r="I35" i="5"/>
  <c r="I37" i="5" s="1"/>
  <c r="AN37" i="5" s="1"/>
  <c r="BV28" i="5" s="1"/>
  <c r="I29" i="5"/>
  <c r="I33" i="5" s="1"/>
  <c r="AN33" i="5" s="1"/>
  <c r="BV30" i="5" s="1"/>
  <c r="I39" i="5"/>
  <c r="I43" i="5" s="1"/>
  <c r="AN43" i="5" s="1"/>
  <c r="BV29" i="5" s="1"/>
  <c r="J23" i="5"/>
  <c r="J72" i="5" s="1"/>
  <c r="I25" i="5"/>
  <c r="I27" i="5" s="1"/>
  <c r="AN27" i="5" s="1"/>
  <c r="BV27" i="5" s="1"/>
  <c r="I45" i="5"/>
  <c r="I47" i="5" s="1"/>
  <c r="AN47" i="5" s="1"/>
  <c r="BV31" i="5" s="1"/>
  <c r="D18" i="5"/>
  <c r="AH18" i="5"/>
  <c r="D20" i="5"/>
  <c r="AH20" i="5"/>
  <c r="D9" i="5"/>
  <c r="AH9" i="5"/>
  <c r="D17" i="5"/>
  <c r="AH17" i="5"/>
  <c r="AH16" i="5"/>
  <c r="D16" i="5"/>
  <c r="D11" i="5"/>
  <c r="AH11" i="5"/>
  <c r="D21" i="5"/>
  <c r="AH21" i="5"/>
  <c r="D13" i="5"/>
  <c r="AH13" i="5"/>
  <c r="AC13" i="5"/>
  <c r="AC11" i="5"/>
  <c r="AC12" i="5"/>
  <c r="AC10" i="5"/>
  <c r="AC9" i="5"/>
  <c r="AD8" i="5"/>
  <c r="E12" i="5"/>
  <c r="AI12" i="5"/>
  <c r="S13" i="5"/>
  <c r="S11" i="5"/>
  <c r="S9" i="5"/>
  <c r="T8" i="5"/>
  <c r="T74" i="5" s="1"/>
  <c r="S12" i="5"/>
  <c r="S10" i="5"/>
  <c r="M13" i="5"/>
  <c r="M12" i="5"/>
  <c r="M10" i="5"/>
  <c r="N8" i="5"/>
  <c r="N74" i="5" s="1"/>
  <c r="M11" i="5"/>
  <c r="M9" i="5"/>
  <c r="AI10" i="5"/>
  <c r="J15" i="5"/>
  <c r="J73" i="5" s="1"/>
  <c r="R20" i="5"/>
  <c r="R21" i="5"/>
  <c r="R19" i="5"/>
  <c r="R17" i="5"/>
  <c r="R18" i="5"/>
  <c r="S15" i="5"/>
  <c r="S73" i="5" s="1"/>
  <c r="R16" i="5"/>
  <c r="X10" i="5"/>
  <c r="Y8" i="5"/>
  <c r="Y74" i="5" s="1"/>
  <c r="AC21" i="5"/>
  <c r="AC19" i="5"/>
  <c r="AC17" i="5"/>
  <c r="AD15" i="5"/>
  <c r="AC20" i="5"/>
  <c r="AC18" i="5"/>
  <c r="AC16" i="5"/>
  <c r="N17" i="5"/>
  <c r="O15" i="5"/>
  <c r="O73" i="5" s="1"/>
  <c r="N21" i="5"/>
  <c r="N20" i="5"/>
  <c r="N18" i="5"/>
  <c r="N16" i="5"/>
  <c r="N19" i="5"/>
  <c r="D19" i="5"/>
  <c r="AH19" i="5"/>
  <c r="X18" i="5"/>
  <c r="X21" i="5"/>
  <c r="X19" i="5"/>
  <c r="AH13" i="6"/>
  <c r="D25" i="6"/>
  <c r="AH25" i="6"/>
  <c r="D39" i="6"/>
  <c r="AH39" i="6"/>
  <c r="M57" i="6"/>
  <c r="M58" i="6"/>
  <c r="M59" i="6"/>
  <c r="M60" i="6"/>
  <c r="M61" i="6"/>
  <c r="N56" i="6"/>
  <c r="H57" i="6"/>
  <c r="I56" i="6"/>
  <c r="H58" i="6"/>
  <c r="H59" i="6"/>
  <c r="H60" i="6"/>
  <c r="H61" i="6"/>
  <c r="D19" i="6"/>
  <c r="E19" i="6" s="1"/>
  <c r="D57" i="6"/>
  <c r="AH57" i="6"/>
  <c r="Y56" i="6"/>
  <c r="X57" i="6"/>
  <c r="X58" i="6"/>
  <c r="X59" i="6"/>
  <c r="X60" i="6"/>
  <c r="X61" i="6"/>
  <c r="T56" i="6"/>
  <c r="S59" i="6"/>
  <c r="S60" i="6"/>
  <c r="S61" i="6"/>
  <c r="S57" i="6"/>
  <c r="S58" i="6"/>
  <c r="H13" i="6"/>
  <c r="H9" i="6"/>
  <c r="H10" i="6"/>
  <c r="I8" i="6"/>
  <c r="H11" i="6"/>
  <c r="H12" i="6"/>
  <c r="AB11" i="6"/>
  <c r="AB12" i="6"/>
  <c r="AB13" i="6"/>
  <c r="AB10" i="6"/>
  <c r="AC8" i="6"/>
  <c r="AB9" i="6"/>
  <c r="H39" i="6"/>
  <c r="I23" i="6"/>
  <c r="H45" i="6"/>
  <c r="H35" i="6"/>
  <c r="H29" i="6"/>
  <c r="H25" i="6"/>
  <c r="R35" i="6"/>
  <c r="R29" i="6"/>
  <c r="R25" i="6"/>
  <c r="R39" i="6"/>
  <c r="R45" i="6"/>
  <c r="S23" i="6"/>
  <c r="C37" i="6"/>
  <c r="N8" i="6"/>
  <c r="M11" i="6"/>
  <c r="M12" i="6"/>
  <c r="M9" i="6"/>
  <c r="M13" i="6"/>
  <c r="M10" i="6"/>
  <c r="AB45" i="6"/>
  <c r="AC23" i="6"/>
  <c r="AB35" i="6"/>
  <c r="AB29" i="6"/>
  <c r="AB39" i="6"/>
  <c r="AB25" i="6"/>
  <c r="AB33" i="6"/>
  <c r="AB37" i="6"/>
  <c r="AB43" i="6"/>
  <c r="AB21" i="6"/>
  <c r="AB16" i="6"/>
  <c r="AB17" i="6"/>
  <c r="AB19" i="6"/>
  <c r="AB18" i="6"/>
  <c r="AC15" i="6"/>
  <c r="AB20" i="6"/>
  <c r="G47" i="6"/>
  <c r="C47" i="6" s="1"/>
  <c r="D47" i="6" s="1"/>
  <c r="E47" i="6" s="1"/>
  <c r="F47" i="6" s="1"/>
  <c r="C45" i="6"/>
  <c r="C29" i="6"/>
  <c r="H17" i="6"/>
  <c r="H18" i="6"/>
  <c r="H19" i="6"/>
  <c r="H20" i="6"/>
  <c r="H21" i="6"/>
  <c r="H16" i="6"/>
  <c r="I15" i="6"/>
  <c r="Y8" i="6"/>
  <c r="X13" i="6"/>
  <c r="X9" i="6"/>
  <c r="X10" i="6"/>
  <c r="X11" i="6"/>
  <c r="X12" i="6"/>
  <c r="C43" i="6"/>
  <c r="D43" i="6" s="1"/>
  <c r="E43" i="6" s="1"/>
  <c r="F43" i="6" s="1"/>
  <c r="AH9" i="6"/>
  <c r="O23" i="6"/>
  <c r="N45" i="6"/>
  <c r="N35" i="6"/>
  <c r="N39" i="6"/>
  <c r="N29" i="6"/>
  <c r="N25" i="6"/>
  <c r="T8" i="6"/>
  <c r="S12" i="6"/>
  <c r="S13" i="6"/>
  <c r="S9" i="6"/>
  <c r="S11" i="6"/>
  <c r="S10" i="6"/>
  <c r="C35" i="6"/>
  <c r="M20" i="6"/>
  <c r="M21" i="6"/>
  <c r="N15" i="6"/>
  <c r="M16" i="6"/>
  <c r="M18" i="6"/>
  <c r="M19" i="6"/>
  <c r="M17" i="6"/>
  <c r="W39" i="6"/>
  <c r="X23" i="6"/>
  <c r="W45" i="6"/>
  <c r="W29" i="6"/>
  <c r="W25" i="6"/>
  <c r="W35" i="6"/>
  <c r="AI20" i="6"/>
  <c r="R16" i="6"/>
  <c r="S15" i="6"/>
  <c r="R17" i="6"/>
  <c r="R18" i="6"/>
  <c r="R19" i="6"/>
  <c r="R21" i="6"/>
  <c r="R20" i="6"/>
  <c r="W18" i="6"/>
  <c r="W19" i="6"/>
  <c r="W20" i="6"/>
  <c r="W21" i="6"/>
  <c r="W16" i="6"/>
  <c r="W17" i="6"/>
  <c r="X15" i="6"/>
  <c r="D11" i="6"/>
  <c r="E11" i="6" s="1"/>
  <c r="AJ11" i="6" s="1"/>
  <c r="AH11" i="6"/>
  <c r="AH17" i="6"/>
  <c r="AH21" i="6"/>
  <c r="D13" i="6"/>
  <c r="AI13" i="6" s="1"/>
  <c r="AH16" i="6"/>
  <c r="AH10" i="6"/>
  <c r="D12" i="6"/>
  <c r="E12" i="6" s="1"/>
  <c r="AJ12" i="6" s="1"/>
  <c r="AI12" i="6"/>
  <c r="AI9" i="6"/>
  <c r="AI11" i="6"/>
  <c r="AI10" i="6"/>
  <c r="E16" i="6"/>
  <c r="AI16" i="6"/>
  <c r="E15" i="6"/>
  <c r="AI21" i="6"/>
  <c r="E18" i="6"/>
  <c r="AI18" i="6"/>
  <c r="E17" i="6"/>
  <c r="AI17" i="6"/>
  <c r="AI19" i="6"/>
  <c r="E9" i="6"/>
  <c r="AJ9" i="6" s="1"/>
  <c r="E10" i="6"/>
  <c r="AJ10" i="6" s="1"/>
  <c r="D144" i="16"/>
  <c r="C176" i="16"/>
  <c r="L174" i="16"/>
  <c r="D137" i="16"/>
  <c r="C177" i="16"/>
  <c r="H137" i="16"/>
  <c r="M137" i="16"/>
  <c r="L177" i="16"/>
  <c r="D152" i="16"/>
  <c r="C175" i="16"/>
  <c r="H152" i="16"/>
  <c r="M152" i="16"/>
  <c r="L175" i="16"/>
  <c r="H144" i="16"/>
  <c r="L176" i="16"/>
  <c r="M144" i="16"/>
  <c r="I98" i="16"/>
  <c r="J113" i="16"/>
  <c r="L158" i="16"/>
  <c r="I105" i="16"/>
  <c r="C67" i="16"/>
  <c r="N67" i="16" s="1"/>
  <c r="C51" i="16"/>
  <c r="D51" i="16" s="1"/>
  <c r="E51" i="16" s="1"/>
  <c r="F51" i="16" s="1"/>
  <c r="G51" i="16" s="1"/>
  <c r="G90" i="16" s="1"/>
  <c r="M52" i="16"/>
  <c r="L52" i="16" s="1"/>
  <c r="L73" i="16"/>
  <c r="W73" i="16" s="1"/>
  <c r="L81" i="16"/>
  <c r="W81" i="16" s="1"/>
  <c r="I12" i="16"/>
  <c r="T12" i="16" s="1"/>
  <c r="D69" i="16"/>
  <c r="E69" i="16" s="1"/>
  <c r="G81" i="16"/>
  <c r="G65" i="16"/>
  <c r="L65" i="16"/>
  <c r="C65" i="16"/>
  <c r="N65" i="16" s="1"/>
  <c r="H65" i="16"/>
  <c r="S65" i="16" s="1"/>
  <c r="J13" i="16"/>
  <c r="U13" i="16" s="1"/>
  <c r="J14" i="16"/>
  <c r="U14" i="16" s="1"/>
  <c r="I62" i="16"/>
  <c r="J62" i="16" s="1"/>
  <c r="C75" i="16"/>
  <c r="N75" i="16" s="1"/>
  <c r="L67" i="16"/>
  <c r="M71" i="16"/>
  <c r="H71" i="16" s="1"/>
  <c r="H67" i="16"/>
  <c r="S67" i="16" s="1"/>
  <c r="M80" i="16"/>
  <c r="H80" i="16" s="1"/>
  <c r="M63" i="16"/>
  <c r="I11" i="16"/>
  <c r="T11" i="16" s="1"/>
  <c r="L75" i="16"/>
  <c r="G67" i="16"/>
  <c r="M53" i="16"/>
  <c r="L53" i="16" s="1"/>
  <c r="B90" i="16"/>
  <c r="M93" i="16" s="1"/>
  <c r="B41" i="16"/>
  <c r="M78" i="16"/>
  <c r="C78" i="16" s="1"/>
  <c r="I13" i="16"/>
  <c r="T13" i="16" s="1"/>
  <c r="M79" i="16"/>
  <c r="C79" i="16" s="1"/>
  <c r="E62" i="16"/>
  <c r="I15" i="16"/>
  <c r="T15" i="16" s="1"/>
  <c r="R81" i="16"/>
  <c r="G73" i="16"/>
  <c r="D65" i="16"/>
  <c r="M72" i="16"/>
  <c r="H72" i="16" s="1"/>
  <c r="G75" i="16"/>
  <c r="C73" i="16"/>
  <c r="M74" i="16"/>
  <c r="H74" i="16" s="1"/>
  <c r="M66" i="16"/>
  <c r="D67" i="16"/>
  <c r="M70" i="16"/>
  <c r="C54" i="16"/>
  <c r="D54" i="16" s="1"/>
  <c r="M64" i="16"/>
  <c r="C64" i="16" s="1"/>
  <c r="D77" i="16"/>
  <c r="C81" i="16"/>
  <c r="I77" i="16"/>
  <c r="H81" i="16"/>
  <c r="I69" i="16"/>
  <c r="H73" i="16"/>
  <c r="H75" i="16"/>
  <c r="N28" i="16"/>
  <c r="N25" i="16" s="1"/>
  <c r="S28" i="16"/>
  <c r="T28" i="16"/>
  <c r="J15" i="16"/>
  <c r="U15" i="16" s="1"/>
  <c r="W28" i="16"/>
  <c r="W25" i="16" s="1"/>
  <c r="K10" i="16"/>
  <c r="K14" i="16" s="1"/>
  <c r="V14" i="16" s="1"/>
  <c r="R29" i="16"/>
  <c r="R28" i="16"/>
  <c r="J12" i="16"/>
  <c r="U12" i="16" s="1"/>
  <c r="D33" i="16"/>
  <c r="O33" i="16" s="1"/>
  <c r="S10" i="16"/>
  <c r="I14" i="16"/>
  <c r="T14" i="16" s="1"/>
  <c r="W17" i="16"/>
  <c r="E31" i="16"/>
  <c r="E35" i="16" s="1"/>
  <c r="P35" i="16" s="1"/>
  <c r="N17" i="16"/>
  <c r="D34" i="16"/>
  <c r="O34" i="16" s="1"/>
  <c r="W31" i="16"/>
  <c r="R10" i="16"/>
  <c r="R17" i="16"/>
  <c r="N31" i="16"/>
  <c r="W10" i="16"/>
  <c r="D35" i="16"/>
  <c r="O35" i="16" s="1"/>
  <c r="D32" i="16"/>
  <c r="O32" i="16" s="1"/>
  <c r="O17" i="16"/>
  <c r="N10" i="16"/>
  <c r="R31" i="16"/>
  <c r="D26" i="16"/>
  <c r="O26" i="16" s="1"/>
  <c r="D29" i="16"/>
  <c r="E25" i="16"/>
  <c r="D27" i="16"/>
  <c r="O27" i="16" s="1"/>
  <c r="D28" i="16"/>
  <c r="S29" i="16"/>
  <c r="J28" i="16"/>
  <c r="J26" i="16"/>
  <c r="U26" i="16" s="1"/>
  <c r="J29" i="16"/>
  <c r="J27" i="16"/>
  <c r="U27" i="16" s="1"/>
  <c r="K25" i="16"/>
  <c r="O10" i="16"/>
  <c r="E18" i="16"/>
  <c r="P18" i="16" s="1"/>
  <c r="E21" i="16"/>
  <c r="P21" i="16" s="1"/>
  <c r="F17" i="16"/>
  <c r="E23" i="16"/>
  <c r="P23" i="16" s="1"/>
  <c r="E19" i="16"/>
  <c r="P19" i="16" s="1"/>
  <c r="E22" i="16"/>
  <c r="P22" i="16" s="1"/>
  <c r="E20" i="16"/>
  <c r="P20" i="16" s="1"/>
  <c r="E15" i="16"/>
  <c r="P15" i="16" s="1"/>
  <c r="E13" i="16"/>
  <c r="P13" i="16" s="1"/>
  <c r="E11" i="16"/>
  <c r="P11" i="16" s="1"/>
  <c r="E14" i="16"/>
  <c r="P14" i="16" s="1"/>
  <c r="F10" i="16"/>
  <c r="I22" i="16"/>
  <c r="T22" i="16" s="1"/>
  <c r="J17" i="16"/>
  <c r="I20" i="16"/>
  <c r="T20" i="16" s="1"/>
  <c r="I23" i="16"/>
  <c r="T23" i="16" s="1"/>
  <c r="I18" i="16"/>
  <c r="T18" i="16" s="1"/>
  <c r="I19" i="16"/>
  <c r="T19" i="16" s="1"/>
  <c r="I21" i="16"/>
  <c r="T21" i="16" s="1"/>
  <c r="T29" i="16"/>
  <c r="I34" i="16"/>
  <c r="T34" i="16" s="1"/>
  <c r="I32" i="16"/>
  <c r="T32" i="16" s="1"/>
  <c r="I35" i="16"/>
  <c r="T35" i="16" s="1"/>
  <c r="I33" i="16"/>
  <c r="T33" i="16" s="1"/>
  <c r="J31" i="16"/>
  <c r="I36" i="16"/>
  <c r="T36" i="16" s="1"/>
  <c r="S31" i="16"/>
  <c r="S17" i="16"/>
  <c r="G53" i="6" l="1"/>
  <c r="C53" i="6" s="1"/>
  <c r="G54" i="6"/>
  <c r="C54" i="6" s="1"/>
  <c r="G75" i="6"/>
  <c r="G51" i="6"/>
  <c r="C51" i="6" s="1"/>
  <c r="D51" i="6" s="1"/>
  <c r="E51" i="6" s="1"/>
  <c r="G50" i="6"/>
  <c r="C50" i="6" s="1"/>
  <c r="AH50" i="6" s="1"/>
  <c r="C49" i="6"/>
  <c r="G52" i="6"/>
  <c r="C52" i="6" s="1"/>
  <c r="D52" i="6" s="1"/>
  <c r="AB63" i="6"/>
  <c r="AC63" i="6" s="1"/>
  <c r="G49" i="5"/>
  <c r="G54" i="5" s="1"/>
  <c r="C54" i="5" s="1"/>
  <c r="G49" i="7"/>
  <c r="G54" i="7" s="1"/>
  <c r="C54" i="7" s="1"/>
  <c r="Q63" i="6"/>
  <c r="Q65" i="6" s="1"/>
  <c r="Q63" i="7"/>
  <c r="Q63" i="5"/>
  <c r="L63" i="6"/>
  <c r="L63" i="7"/>
  <c r="L63" i="5"/>
  <c r="AB49" i="7"/>
  <c r="AA75" i="7"/>
  <c r="AA53" i="7"/>
  <c r="AA52" i="7"/>
  <c r="AA50" i="7"/>
  <c r="AA54" i="7"/>
  <c r="AA51" i="7"/>
  <c r="V64" i="5"/>
  <c r="W63" i="5"/>
  <c r="V65" i="5"/>
  <c r="V66" i="5"/>
  <c r="V71" i="5"/>
  <c r="G64" i="6"/>
  <c r="C64" i="6" s="1"/>
  <c r="D64" i="6" s="1"/>
  <c r="G65" i="6"/>
  <c r="C65" i="6" s="1"/>
  <c r="D65" i="6" s="1"/>
  <c r="G65" i="7"/>
  <c r="C65" i="7" s="1"/>
  <c r="G71" i="7"/>
  <c r="C63" i="7"/>
  <c r="H63" i="7"/>
  <c r="G66" i="7"/>
  <c r="C66" i="7" s="1"/>
  <c r="G64" i="7"/>
  <c r="C64" i="7" s="1"/>
  <c r="L49" i="6"/>
  <c r="H49" i="6" s="1"/>
  <c r="L49" i="7"/>
  <c r="L49" i="5"/>
  <c r="AA50" i="6"/>
  <c r="AA52" i="6"/>
  <c r="AA54" i="6"/>
  <c r="AB49" i="6"/>
  <c r="AA53" i="6"/>
  <c r="AA51" i="6"/>
  <c r="AA75" i="6"/>
  <c r="V65" i="7"/>
  <c r="V71" i="7"/>
  <c r="V64" i="7"/>
  <c r="V66" i="7"/>
  <c r="W63" i="7"/>
  <c r="AF65" i="5"/>
  <c r="AF71" i="5"/>
  <c r="AF66" i="5"/>
  <c r="AF64" i="5"/>
  <c r="AF54" i="6"/>
  <c r="AF53" i="6"/>
  <c r="AF75" i="6"/>
  <c r="AF51" i="6"/>
  <c r="AF52" i="6"/>
  <c r="AF50" i="6"/>
  <c r="AA65" i="5"/>
  <c r="AA71" i="5"/>
  <c r="AA64" i="5"/>
  <c r="AA66" i="5"/>
  <c r="AB63" i="5"/>
  <c r="D50" i="6"/>
  <c r="AH64" i="6"/>
  <c r="AA66" i="7"/>
  <c r="AA71" i="7"/>
  <c r="AB63" i="7"/>
  <c r="AA65" i="7"/>
  <c r="AA64" i="7"/>
  <c r="V53" i="5"/>
  <c r="V50" i="5"/>
  <c r="V52" i="5"/>
  <c r="W49" i="5"/>
  <c r="V54" i="5"/>
  <c r="V75" i="5"/>
  <c r="V51" i="5"/>
  <c r="AA50" i="5"/>
  <c r="AA75" i="5"/>
  <c r="AA51" i="5"/>
  <c r="AB49" i="5"/>
  <c r="AA52" i="5"/>
  <c r="AA53" i="5"/>
  <c r="AA54" i="5"/>
  <c r="V65" i="6"/>
  <c r="AA66" i="6"/>
  <c r="AA65" i="6"/>
  <c r="AA64" i="6"/>
  <c r="V51" i="7"/>
  <c r="V75" i="7"/>
  <c r="V54" i="7"/>
  <c r="V52" i="7"/>
  <c r="V53" i="7"/>
  <c r="V50" i="7"/>
  <c r="W49" i="7"/>
  <c r="G51" i="5"/>
  <c r="C51" i="5" s="1"/>
  <c r="G50" i="5"/>
  <c r="C50" i="5" s="1"/>
  <c r="G53" i="5"/>
  <c r="C53" i="5" s="1"/>
  <c r="C49" i="5"/>
  <c r="G52" i="5"/>
  <c r="C52" i="5" s="1"/>
  <c r="W63" i="6"/>
  <c r="W65" i="6" s="1"/>
  <c r="G71" i="6"/>
  <c r="AF75" i="5"/>
  <c r="AF54" i="5"/>
  <c r="AF52" i="5"/>
  <c r="AF50" i="5"/>
  <c r="AF51" i="5"/>
  <c r="AF53" i="5"/>
  <c r="V53" i="6"/>
  <c r="V51" i="6"/>
  <c r="W49" i="6"/>
  <c r="V54" i="6"/>
  <c r="V75" i="6"/>
  <c r="V50" i="6"/>
  <c r="V52" i="6"/>
  <c r="G50" i="7"/>
  <c r="C50" i="7" s="1"/>
  <c r="G53" i="7"/>
  <c r="C53" i="7" s="1"/>
  <c r="C49" i="7"/>
  <c r="AF66" i="7"/>
  <c r="AF71" i="7"/>
  <c r="AF65" i="7"/>
  <c r="AF64" i="7"/>
  <c r="V71" i="6"/>
  <c r="Q49" i="6"/>
  <c r="R49" i="6" s="1"/>
  <c r="Q49" i="7"/>
  <c r="Q49" i="5"/>
  <c r="AF53" i="7"/>
  <c r="AF52" i="7"/>
  <c r="AF75" i="7"/>
  <c r="AF50" i="7"/>
  <c r="AF54" i="7"/>
  <c r="AF51" i="7"/>
  <c r="C63" i="5"/>
  <c r="G66" i="5"/>
  <c r="C66" i="5" s="1"/>
  <c r="G64" i="5"/>
  <c r="C64" i="5" s="1"/>
  <c r="H63" i="5"/>
  <c r="G65" i="5"/>
  <c r="C65" i="5" s="1"/>
  <c r="G71" i="5"/>
  <c r="X16" i="5"/>
  <c r="X12" i="5"/>
  <c r="X20" i="5"/>
  <c r="X9" i="5"/>
  <c r="Y15" i="5"/>
  <c r="Y73" i="5" s="1"/>
  <c r="X11" i="5"/>
  <c r="X17" i="5"/>
  <c r="X13" i="5"/>
  <c r="T23" i="5"/>
  <c r="S72" i="5"/>
  <c r="S29" i="5"/>
  <c r="S39" i="5"/>
  <c r="S25" i="5"/>
  <c r="S35" i="5"/>
  <c r="S45" i="5"/>
  <c r="E15" i="5"/>
  <c r="D73" i="5"/>
  <c r="E8" i="5"/>
  <c r="AJ10" i="5" s="1"/>
  <c r="D74" i="5"/>
  <c r="E39" i="5"/>
  <c r="AI39" i="5"/>
  <c r="AL37" i="5"/>
  <c r="BT28" i="5" s="1"/>
  <c r="C37" i="5"/>
  <c r="E47" i="5"/>
  <c r="AI47" i="5"/>
  <c r="BQ31" i="5" s="1"/>
  <c r="AD23" i="5"/>
  <c r="AC27" i="5"/>
  <c r="AC29" i="5"/>
  <c r="AC35" i="5"/>
  <c r="AC45" i="5"/>
  <c r="AC39" i="5"/>
  <c r="AC47" i="5"/>
  <c r="AC25" i="5"/>
  <c r="AC33" i="5"/>
  <c r="AC43" i="5"/>
  <c r="F23" i="5"/>
  <c r="F72" i="5" s="1"/>
  <c r="E72" i="5"/>
  <c r="D29" i="5"/>
  <c r="AH29" i="5"/>
  <c r="D43" i="5"/>
  <c r="AH43" i="5"/>
  <c r="BP29" i="5" s="1"/>
  <c r="D33" i="5"/>
  <c r="AH33" i="5"/>
  <c r="BP30" i="5" s="1"/>
  <c r="E45" i="5"/>
  <c r="AI45" i="5"/>
  <c r="E27" i="5"/>
  <c r="AI27" i="5"/>
  <c r="BQ27" i="5" s="1"/>
  <c r="J8" i="5"/>
  <c r="J74" i="5" s="1"/>
  <c r="Y23" i="5"/>
  <c r="X72" i="5"/>
  <c r="X35" i="5"/>
  <c r="X45" i="5"/>
  <c r="X29" i="5"/>
  <c r="X39" i="5"/>
  <c r="X25" i="5"/>
  <c r="E25" i="5"/>
  <c r="AI25" i="5"/>
  <c r="E35" i="5"/>
  <c r="AI35" i="5"/>
  <c r="Q51" i="6"/>
  <c r="Q75" i="6"/>
  <c r="AH65" i="6"/>
  <c r="Q66" i="6"/>
  <c r="R63" i="6"/>
  <c r="Q71" i="6"/>
  <c r="L66" i="6"/>
  <c r="L64" i="6"/>
  <c r="L65" i="6"/>
  <c r="L71" i="6"/>
  <c r="M63" i="6"/>
  <c r="H52" i="6"/>
  <c r="D63" i="6"/>
  <c r="AI64" i="6" s="1"/>
  <c r="L50" i="6"/>
  <c r="L53" i="6"/>
  <c r="L75" i="6"/>
  <c r="L54" i="6"/>
  <c r="L52" i="6"/>
  <c r="L51" i="6"/>
  <c r="AH66" i="6"/>
  <c r="C71" i="6"/>
  <c r="H50" i="6"/>
  <c r="H51" i="6"/>
  <c r="H63" i="6"/>
  <c r="AB71" i="6"/>
  <c r="AB64" i="6"/>
  <c r="AH52" i="6"/>
  <c r="D49" i="6"/>
  <c r="C75" i="6"/>
  <c r="W71" i="6"/>
  <c r="D54" i="6"/>
  <c r="AH54" i="6"/>
  <c r="E63" i="6"/>
  <c r="D71" i="6"/>
  <c r="J35" i="5"/>
  <c r="J37" i="5" s="1"/>
  <c r="AO37" i="5" s="1"/>
  <c r="BW28" i="5" s="1"/>
  <c r="J39" i="5"/>
  <c r="J43" i="5" s="1"/>
  <c r="AO43" i="5" s="1"/>
  <c r="BW29" i="5" s="1"/>
  <c r="K23" i="5"/>
  <c r="K72" i="5" s="1"/>
  <c r="J25" i="5"/>
  <c r="J27" i="5" s="1"/>
  <c r="AO27" i="5" s="1"/>
  <c r="BW27" i="5" s="1"/>
  <c r="J45" i="5"/>
  <c r="J47" i="5" s="1"/>
  <c r="AO47" i="5" s="1"/>
  <c r="BW31" i="5" s="1"/>
  <c r="J29" i="5"/>
  <c r="J33" i="5" s="1"/>
  <c r="AO33" i="5" s="1"/>
  <c r="BW30" i="5" s="1"/>
  <c r="Y20" i="5"/>
  <c r="Y18" i="5"/>
  <c r="Y19" i="5"/>
  <c r="Y17" i="5"/>
  <c r="Z15" i="5"/>
  <c r="Z73" i="5" s="1"/>
  <c r="Z8" i="5"/>
  <c r="Z74" i="5" s="1"/>
  <c r="Y13" i="5"/>
  <c r="Y11" i="5"/>
  <c r="Y9" i="5"/>
  <c r="Y10" i="5"/>
  <c r="Y12" i="5"/>
  <c r="F12" i="5"/>
  <c r="AJ12" i="5"/>
  <c r="AI13" i="5"/>
  <c r="E13" i="5"/>
  <c r="E17" i="5"/>
  <c r="AI17" i="5"/>
  <c r="AD17" i="5"/>
  <c r="AE15" i="5"/>
  <c r="AD20" i="5"/>
  <c r="AD18" i="5"/>
  <c r="AD16" i="5"/>
  <c r="AD19" i="5"/>
  <c r="AD21" i="5"/>
  <c r="AD12" i="5"/>
  <c r="AD10" i="5"/>
  <c r="AE8" i="5"/>
  <c r="AD13" i="5"/>
  <c r="AD11" i="5"/>
  <c r="AD9" i="5"/>
  <c r="K15" i="5"/>
  <c r="K73" i="5" s="1"/>
  <c r="F10" i="5"/>
  <c r="E21" i="5"/>
  <c r="AI21" i="5"/>
  <c r="E9" i="5"/>
  <c r="AI9" i="5"/>
  <c r="T13" i="5"/>
  <c r="T11" i="5"/>
  <c r="T9" i="5"/>
  <c r="T12" i="5"/>
  <c r="T10" i="5"/>
  <c r="U8" i="5"/>
  <c r="U74" i="5" s="1"/>
  <c r="P15" i="5"/>
  <c r="P73" i="5" s="1"/>
  <c r="O20" i="5"/>
  <c r="O18" i="5"/>
  <c r="O16" i="5"/>
  <c r="O21" i="5"/>
  <c r="O19" i="5"/>
  <c r="O17" i="5"/>
  <c r="S21" i="5"/>
  <c r="S19" i="5"/>
  <c r="S17" i="5"/>
  <c r="T15" i="5"/>
  <c r="T73" i="5" s="1"/>
  <c r="S20" i="5"/>
  <c r="S18" i="5"/>
  <c r="S16" i="5"/>
  <c r="AI11" i="5"/>
  <c r="E11" i="5"/>
  <c r="E20" i="5"/>
  <c r="AI20" i="5"/>
  <c r="N12" i="5"/>
  <c r="N10" i="5"/>
  <c r="O8" i="5"/>
  <c r="O74" i="5" s="1"/>
  <c r="N13" i="5"/>
  <c r="N11" i="5"/>
  <c r="N9" i="5"/>
  <c r="E16" i="5"/>
  <c r="AI16" i="5"/>
  <c r="E19" i="5"/>
  <c r="AI19" i="5"/>
  <c r="E18" i="5"/>
  <c r="AI18" i="5"/>
  <c r="J56" i="6"/>
  <c r="I61" i="6"/>
  <c r="I57" i="6"/>
  <c r="I58" i="6"/>
  <c r="I59" i="6"/>
  <c r="I60" i="6"/>
  <c r="D29" i="6"/>
  <c r="AH29" i="6"/>
  <c r="E64" i="6"/>
  <c r="D45" i="6"/>
  <c r="AH45" i="6"/>
  <c r="Z56" i="6"/>
  <c r="Y61" i="6"/>
  <c r="Y57" i="6"/>
  <c r="Y58" i="6"/>
  <c r="Y59" i="6"/>
  <c r="Y60" i="6"/>
  <c r="E57" i="6"/>
  <c r="AI57" i="6"/>
  <c r="N57" i="6"/>
  <c r="N58" i="6"/>
  <c r="N61" i="6"/>
  <c r="N59" i="6"/>
  <c r="N60" i="6"/>
  <c r="O56" i="6"/>
  <c r="E65" i="6"/>
  <c r="E39" i="6"/>
  <c r="AI39" i="6"/>
  <c r="E52" i="6"/>
  <c r="D35" i="6"/>
  <c r="E25" i="6"/>
  <c r="AI25" i="6"/>
  <c r="E66" i="6"/>
  <c r="U56" i="6"/>
  <c r="T58" i="6"/>
  <c r="T59" i="6"/>
  <c r="T60" i="6"/>
  <c r="T61" i="6"/>
  <c r="T57" i="6"/>
  <c r="E50" i="6"/>
  <c r="T23" i="6"/>
  <c r="S45" i="6"/>
  <c r="S35" i="6"/>
  <c r="S29" i="6"/>
  <c r="S25" i="6"/>
  <c r="S39" i="6"/>
  <c r="I29" i="6"/>
  <c r="I25" i="6"/>
  <c r="I39" i="6"/>
  <c r="J23" i="6"/>
  <c r="I45" i="6"/>
  <c r="I35" i="6"/>
  <c r="AD15" i="6"/>
  <c r="AC20" i="6"/>
  <c r="AC21" i="6"/>
  <c r="AC16" i="6"/>
  <c r="AC18" i="6"/>
  <c r="AC19" i="6"/>
  <c r="AC17" i="6"/>
  <c r="Y15" i="6"/>
  <c r="X17" i="6"/>
  <c r="X18" i="6"/>
  <c r="X19" i="6"/>
  <c r="X20" i="6"/>
  <c r="X21" i="6"/>
  <c r="X16" i="6"/>
  <c r="P23" i="6"/>
  <c r="O39" i="6"/>
  <c r="O45" i="6"/>
  <c r="O29" i="6"/>
  <c r="O25" i="6"/>
  <c r="O35" i="6"/>
  <c r="Z8" i="6"/>
  <c r="Y13" i="6"/>
  <c r="Y9" i="6"/>
  <c r="Y10" i="6"/>
  <c r="Y12" i="6"/>
  <c r="Y11" i="6"/>
  <c r="O15" i="6"/>
  <c r="N19" i="6"/>
  <c r="N20" i="6"/>
  <c r="N21" i="6"/>
  <c r="N17" i="6"/>
  <c r="N16" i="6"/>
  <c r="N18" i="6"/>
  <c r="J8" i="6"/>
  <c r="I13" i="6"/>
  <c r="I9" i="6"/>
  <c r="I10" i="6"/>
  <c r="I12" i="6"/>
  <c r="I11" i="6"/>
  <c r="T11" i="6"/>
  <c r="T12" i="6"/>
  <c r="T13" i="6"/>
  <c r="T10" i="6"/>
  <c r="U8" i="6"/>
  <c r="T9" i="6"/>
  <c r="I16" i="6"/>
  <c r="I17" i="6"/>
  <c r="I18" i="6"/>
  <c r="I19" i="6"/>
  <c r="I20" i="6"/>
  <c r="J15" i="6"/>
  <c r="I21" i="6"/>
  <c r="AD8" i="6"/>
  <c r="AC11" i="6"/>
  <c r="AC12" i="6"/>
  <c r="AC9" i="6"/>
  <c r="AC13" i="6"/>
  <c r="AC10" i="6"/>
  <c r="Y23" i="6"/>
  <c r="X39" i="6"/>
  <c r="X45" i="6"/>
  <c r="X35" i="6"/>
  <c r="X29" i="6"/>
  <c r="X25" i="6"/>
  <c r="O8" i="6"/>
  <c r="N10" i="6"/>
  <c r="N11" i="6"/>
  <c r="N12" i="6"/>
  <c r="N13" i="6"/>
  <c r="N9" i="6"/>
  <c r="T15" i="6"/>
  <c r="S16" i="6"/>
  <c r="S17" i="6"/>
  <c r="S18" i="6"/>
  <c r="S20" i="6"/>
  <c r="S21" i="6"/>
  <c r="S19" i="6"/>
  <c r="AD23" i="6"/>
  <c r="AC33" i="6"/>
  <c r="AC37" i="6"/>
  <c r="AC45" i="6"/>
  <c r="AC43" i="6"/>
  <c r="AC35" i="6"/>
  <c r="AC29" i="6"/>
  <c r="AC39" i="6"/>
  <c r="AC25" i="6"/>
  <c r="AC47" i="6"/>
  <c r="AC27" i="6"/>
  <c r="D37" i="6"/>
  <c r="E37" i="6" s="1"/>
  <c r="F37" i="6" s="1"/>
  <c r="E13" i="6"/>
  <c r="AJ13" i="6" s="1"/>
  <c r="F16" i="6"/>
  <c r="AJ16" i="6"/>
  <c r="F17" i="6"/>
  <c r="AJ17" i="6"/>
  <c r="F18" i="6"/>
  <c r="AJ18" i="6"/>
  <c r="F19" i="6"/>
  <c r="AJ19" i="6"/>
  <c r="F15" i="6"/>
  <c r="AJ20" i="6"/>
  <c r="AJ21" i="6"/>
  <c r="F10" i="6"/>
  <c r="AK10" i="6" s="1"/>
  <c r="F9" i="6"/>
  <c r="AK9" i="6" s="1"/>
  <c r="F11" i="6"/>
  <c r="AK11" i="6" s="1"/>
  <c r="F12" i="6"/>
  <c r="AK12" i="6" s="1"/>
  <c r="E144" i="16"/>
  <c r="D176" i="16"/>
  <c r="M177" i="16"/>
  <c r="N137" i="16"/>
  <c r="I144" i="16"/>
  <c r="H176" i="16"/>
  <c r="I137" i="16"/>
  <c r="H177" i="16"/>
  <c r="E137" i="16"/>
  <c r="D177" i="16"/>
  <c r="L178" i="16"/>
  <c r="I152" i="16"/>
  <c r="H175" i="16"/>
  <c r="N152" i="16"/>
  <c r="M175" i="16"/>
  <c r="E152" i="16"/>
  <c r="D175" i="16"/>
  <c r="N144" i="16"/>
  <c r="M176" i="16"/>
  <c r="E32" i="16"/>
  <c r="P32" i="16" s="1"/>
  <c r="E34" i="16"/>
  <c r="P34" i="16" s="1"/>
  <c r="I67" i="16"/>
  <c r="T67" i="16" s="1"/>
  <c r="F31" i="16"/>
  <c r="F33" i="16" s="1"/>
  <c r="Q33" i="16" s="1"/>
  <c r="O54" i="16"/>
  <c r="H78" i="16"/>
  <c r="S78" i="16" s="1"/>
  <c r="J105" i="16"/>
  <c r="K113" i="16"/>
  <c r="J98" i="16"/>
  <c r="W65" i="16"/>
  <c r="T10" i="16"/>
  <c r="L71" i="16"/>
  <c r="W71" i="16" s="1"/>
  <c r="H51" i="16"/>
  <c r="I51" i="16" s="1"/>
  <c r="J51" i="16" s="1"/>
  <c r="K51" i="16" s="1"/>
  <c r="J63" i="16"/>
  <c r="U63" i="16" s="1"/>
  <c r="E54" i="16"/>
  <c r="F54" i="16" s="1"/>
  <c r="D73" i="16"/>
  <c r="L80" i="16"/>
  <c r="W80" i="16" s="1"/>
  <c r="D75" i="16"/>
  <c r="O75" i="16" s="1"/>
  <c r="D70" i="16"/>
  <c r="O70" i="16" s="1"/>
  <c r="D74" i="16"/>
  <c r="C80" i="16"/>
  <c r="N80" i="16" s="1"/>
  <c r="K62" i="16"/>
  <c r="K64" i="16" s="1"/>
  <c r="W67" i="16"/>
  <c r="R65" i="16"/>
  <c r="D71" i="16"/>
  <c r="O71" i="16" s="1"/>
  <c r="S25" i="16"/>
  <c r="E36" i="16"/>
  <c r="P36" i="16" s="1"/>
  <c r="I65" i="16"/>
  <c r="T65" i="16" s="1"/>
  <c r="I64" i="16"/>
  <c r="T64" i="16" s="1"/>
  <c r="I66" i="16"/>
  <c r="T66" i="16" s="1"/>
  <c r="H79" i="16"/>
  <c r="S79" i="16" s="1"/>
  <c r="G80" i="16"/>
  <c r="C71" i="16"/>
  <c r="G71" i="16"/>
  <c r="R25" i="16"/>
  <c r="N54" i="16"/>
  <c r="S72" i="16"/>
  <c r="L93" i="16"/>
  <c r="J64" i="16"/>
  <c r="R75" i="16"/>
  <c r="C53" i="16"/>
  <c r="W53" i="16"/>
  <c r="K13" i="16"/>
  <c r="V13" i="16" s="1"/>
  <c r="S80" i="16"/>
  <c r="J65" i="16"/>
  <c r="N81" i="16"/>
  <c r="F62" i="16"/>
  <c r="F64" i="16" s="1"/>
  <c r="E65" i="16"/>
  <c r="E67" i="16"/>
  <c r="L79" i="16"/>
  <c r="G79" i="16"/>
  <c r="E63" i="16"/>
  <c r="L63" i="16"/>
  <c r="D63" i="16"/>
  <c r="C63" i="16"/>
  <c r="M62" i="16"/>
  <c r="I63" i="16"/>
  <c r="H63" i="16"/>
  <c r="G63" i="16"/>
  <c r="H64" i="16"/>
  <c r="D64" i="16"/>
  <c r="G64" i="16"/>
  <c r="L64" i="16"/>
  <c r="E64" i="16"/>
  <c r="N73" i="16"/>
  <c r="G72" i="16"/>
  <c r="C72" i="16"/>
  <c r="L72" i="16"/>
  <c r="K15" i="16"/>
  <c r="V15" i="16" s="1"/>
  <c r="S71" i="16"/>
  <c r="O65" i="16"/>
  <c r="L78" i="16"/>
  <c r="M77" i="16"/>
  <c r="G78" i="16"/>
  <c r="R67" i="16"/>
  <c r="U10" i="16"/>
  <c r="G70" i="16"/>
  <c r="C70" i="16"/>
  <c r="L70" i="16"/>
  <c r="M69" i="16"/>
  <c r="T25" i="16"/>
  <c r="M51" i="16"/>
  <c r="H70" i="16"/>
  <c r="D72" i="16"/>
  <c r="N79" i="16"/>
  <c r="G66" i="16"/>
  <c r="E66" i="16"/>
  <c r="H66" i="16"/>
  <c r="C66" i="16"/>
  <c r="D66" i="16"/>
  <c r="J66" i="16"/>
  <c r="L66" i="16"/>
  <c r="R73" i="16"/>
  <c r="J67" i="16"/>
  <c r="G93" i="16"/>
  <c r="G126" i="16"/>
  <c r="H90" i="16"/>
  <c r="S74" i="16"/>
  <c r="S75" i="16"/>
  <c r="S81" i="16"/>
  <c r="N78" i="16"/>
  <c r="B46" i="16"/>
  <c r="B44" i="16"/>
  <c r="B42" i="16"/>
  <c r="B45" i="16"/>
  <c r="B83" i="16"/>
  <c r="M41" i="16"/>
  <c r="B43" i="16"/>
  <c r="C41" i="16"/>
  <c r="W75" i="16"/>
  <c r="S73" i="16"/>
  <c r="O67" i="16"/>
  <c r="L74" i="16"/>
  <c r="C74" i="16"/>
  <c r="G74" i="16"/>
  <c r="M92" i="16"/>
  <c r="G92" i="16" s="1"/>
  <c r="M91" i="16"/>
  <c r="C90" i="16"/>
  <c r="E74" i="16"/>
  <c r="E70" i="16"/>
  <c r="E75" i="16"/>
  <c r="E71" i="16"/>
  <c r="E72" i="16"/>
  <c r="F69" i="16"/>
  <c r="E73" i="16"/>
  <c r="D79" i="16"/>
  <c r="D80" i="16"/>
  <c r="D78" i="16"/>
  <c r="E77" i="16"/>
  <c r="D81" i="16"/>
  <c r="I81" i="16"/>
  <c r="I78" i="16"/>
  <c r="I79" i="16"/>
  <c r="J77" i="16"/>
  <c r="I80" i="16"/>
  <c r="I72" i="16"/>
  <c r="J69" i="16"/>
  <c r="I73" i="16"/>
  <c r="I74" i="16"/>
  <c r="I70" i="16"/>
  <c r="I75" i="16"/>
  <c r="I71" i="16"/>
  <c r="C52" i="16"/>
  <c r="W52" i="16"/>
  <c r="K12" i="16"/>
  <c r="V12" i="16" s="1"/>
  <c r="K11" i="16"/>
  <c r="V11" i="16" s="1"/>
  <c r="E33" i="16"/>
  <c r="P33" i="16" s="1"/>
  <c r="O31" i="16"/>
  <c r="J34" i="16"/>
  <c r="U34" i="16" s="1"/>
  <c r="J32" i="16"/>
  <c r="U32" i="16" s="1"/>
  <c r="J35" i="16"/>
  <c r="U35" i="16" s="1"/>
  <c r="J33" i="16"/>
  <c r="U33" i="16" s="1"/>
  <c r="K31" i="16"/>
  <c r="J36" i="16"/>
  <c r="U36" i="16" s="1"/>
  <c r="P10" i="16"/>
  <c r="T17" i="16"/>
  <c r="P17" i="16"/>
  <c r="U28" i="16"/>
  <c r="O28" i="16"/>
  <c r="T31" i="16"/>
  <c r="J22" i="16"/>
  <c r="U22" i="16" s="1"/>
  <c r="J20" i="16"/>
  <c r="U20" i="16" s="1"/>
  <c r="J23" i="16"/>
  <c r="U23" i="16" s="1"/>
  <c r="J18" i="16"/>
  <c r="U18" i="16" s="1"/>
  <c r="J21" i="16"/>
  <c r="U21" i="16" s="1"/>
  <c r="J19" i="16"/>
  <c r="U19" i="16" s="1"/>
  <c r="K17" i="16"/>
  <c r="K26" i="16"/>
  <c r="V26" i="16" s="1"/>
  <c r="K29" i="16"/>
  <c r="K28" i="16"/>
  <c r="K27" i="16"/>
  <c r="V27" i="16" s="1"/>
  <c r="E29" i="16"/>
  <c r="E26" i="16"/>
  <c r="P26" i="16" s="1"/>
  <c r="F25" i="16"/>
  <c r="E27" i="16"/>
  <c r="P27" i="16" s="1"/>
  <c r="E28" i="16"/>
  <c r="F13" i="16"/>
  <c r="Q13" i="16" s="1"/>
  <c r="F14" i="16"/>
  <c r="Q14" i="16" s="1"/>
  <c r="F15" i="16"/>
  <c r="Q15" i="16" s="1"/>
  <c r="F12" i="16"/>
  <c r="Q12" i="16" s="1"/>
  <c r="F11" i="16"/>
  <c r="Q11" i="16" s="1"/>
  <c r="U29" i="16"/>
  <c r="O29" i="16"/>
  <c r="O25" i="16" s="1"/>
  <c r="F21" i="16"/>
  <c r="Q21" i="16" s="1"/>
  <c r="F18" i="16"/>
  <c r="Q18" i="16" s="1"/>
  <c r="F19" i="16"/>
  <c r="Q19" i="16" s="1"/>
  <c r="F22" i="16"/>
  <c r="Q22" i="16" s="1"/>
  <c r="F20" i="16"/>
  <c r="Q20" i="16" s="1"/>
  <c r="F23" i="16"/>
  <c r="Q23" i="16" s="1"/>
  <c r="F35" i="16"/>
  <c r="Q35" i="16" s="1"/>
  <c r="X63" i="6" l="1"/>
  <c r="AB66" i="6"/>
  <c r="Q64" i="6"/>
  <c r="H49" i="7"/>
  <c r="H53" i="7" s="1"/>
  <c r="G75" i="5"/>
  <c r="W64" i="6"/>
  <c r="AH51" i="6"/>
  <c r="G52" i="7"/>
  <c r="C52" i="7" s="1"/>
  <c r="W66" i="6"/>
  <c r="AB65" i="6"/>
  <c r="G51" i="7"/>
  <c r="C51" i="7" s="1"/>
  <c r="G75" i="7"/>
  <c r="D53" i="6"/>
  <c r="E53" i="6" s="1"/>
  <c r="F53" i="6" s="1"/>
  <c r="AH53" i="6"/>
  <c r="D64" i="5"/>
  <c r="AH64" i="5"/>
  <c r="D52" i="5"/>
  <c r="AH52" i="5"/>
  <c r="Q52" i="6"/>
  <c r="D66" i="5"/>
  <c r="AH66" i="5"/>
  <c r="Q54" i="5"/>
  <c r="Q52" i="5"/>
  <c r="Q50" i="5"/>
  <c r="R49" i="5"/>
  <c r="Q53" i="5"/>
  <c r="Q51" i="5"/>
  <c r="Q75" i="5"/>
  <c r="D49" i="7"/>
  <c r="C75" i="7"/>
  <c r="D49" i="5"/>
  <c r="C75" i="5"/>
  <c r="D63" i="7"/>
  <c r="C71" i="7"/>
  <c r="W71" i="5"/>
  <c r="W65" i="5"/>
  <c r="W66" i="5"/>
  <c r="W64" i="5"/>
  <c r="X63" i="5"/>
  <c r="AB51" i="7"/>
  <c r="AB75" i="7"/>
  <c r="AB53" i="7"/>
  <c r="AB54" i="7"/>
  <c r="AC49" i="7"/>
  <c r="AB52" i="7"/>
  <c r="AB50" i="7"/>
  <c r="AH54" i="7"/>
  <c r="D54" i="7"/>
  <c r="W75" i="7"/>
  <c r="W53" i="7"/>
  <c r="W51" i="7"/>
  <c r="X49" i="7"/>
  <c r="W54" i="7"/>
  <c r="W52" i="7"/>
  <c r="W50" i="7"/>
  <c r="AC63" i="5"/>
  <c r="AB71" i="5"/>
  <c r="AB64" i="5"/>
  <c r="AB66" i="5"/>
  <c r="AB65" i="5"/>
  <c r="H71" i="7"/>
  <c r="H66" i="7"/>
  <c r="H64" i="7"/>
  <c r="I63" i="7"/>
  <c r="H65" i="7"/>
  <c r="M49" i="6"/>
  <c r="D63" i="5"/>
  <c r="C71" i="5"/>
  <c r="Q75" i="7"/>
  <c r="Q53" i="7"/>
  <c r="Q54" i="7"/>
  <c r="Q51" i="7"/>
  <c r="R49" i="7"/>
  <c r="Q52" i="7"/>
  <c r="Q50" i="7"/>
  <c r="D52" i="7"/>
  <c r="AH52" i="7"/>
  <c r="D53" i="5"/>
  <c r="AH53" i="5"/>
  <c r="L65" i="5"/>
  <c r="L64" i="5"/>
  <c r="M63" i="5"/>
  <c r="L66" i="5"/>
  <c r="L71" i="5"/>
  <c r="H75" i="7"/>
  <c r="H50" i="7"/>
  <c r="H54" i="7"/>
  <c r="H52" i="7"/>
  <c r="H51" i="7"/>
  <c r="I49" i="7"/>
  <c r="AB66" i="7"/>
  <c r="AB71" i="7"/>
  <c r="AB65" i="7"/>
  <c r="AC63" i="7"/>
  <c r="AB64" i="7"/>
  <c r="L66" i="7"/>
  <c r="L71" i="7"/>
  <c r="M63" i="7"/>
  <c r="L65" i="7"/>
  <c r="L64" i="7"/>
  <c r="Q50" i="6"/>
  <c r="AH51" i="7"/>
  <c r="D51" i="7"/>
  <c r="D54" i="5"/>
  <c r="AH54" i="5"/>
  <c r="L54" i="7"/>
  <c r="L75" i="7"/>
  <c r="M49" i="7"/>
  <c r="L51" i="7"/>
  <c r="L50" i="7"/>
  <c r="L53" i="7"/>
  <c r="L52" i="7"/>
  <c r="L75" i="5"/>
  <c r="L51" i="5"/>
  <c r="L53" i="5"/>
  <c r="L52" i="5"/>
  <c r="L50" i="5"/>
  <c r="M49" i="5"/>
  <c r="L54" i="5"/>
  <c r="Q54" i="6"/>
  <c r="AH53" i="7"/>
  <c r="D53" i="7"/>
  <c r="W75" i="6"/>
  <c r="W52" i="6"/>
  <c r="W50" i="6"/>
  <c r="W51" i="6"/>
  <c r="W54" i="6"/>
  <c r="W53" i="6"/>
  <c r="X49" i="6"/>
  <c r="D50" i="5"/>
  <c r="AH50" i="5"/>
  <c r="W52" i="5"/>
  <c r="W54" i="5"/>
  <c r="X49" i="5"/>
  <c r="W50" i="5"/>
  <c r="W51" i="5"/>
  <c r="W53" i="5"/>
  <c r="W75" i="5"/>
  <c r="H75" i="6"/>
  <c r="H54" i="6"/>
  <c r="I49" i="6"/>
  <c r="H53" i="6"/>
  <c r="Q71" i="5"/>
  <c r="Q66" i="5"/>
  <c r="R63" i="5"/>
  <c r="Q64" i="5"/>
  <c r="Q65" i="5"/>
  <c r="D65" i="7"/>
  <c r="AH65" i="7"/>
  <c r="Q53" i="6"/>
  <c r="D65" i="5"/>
  <c r="AH65" i="5"/>
  <c r="AH51" i="5"/>
  <c r="D51" i="5"/>
  <c r="AB75" i="5"/>
  <c r="AB51" i="5"/>
  <c r="AC49" i="5"/>
  <c r="AB54" i="5"/>
  <c r="AB52" i="5"/>
  <c r="AB50" i="5"/>
  <c r="AB53" i="5"/>
  <c r="D64" i="7"/>
  <c r="AH64" i="7"/>
  <c r="Q71" i="7"/>
  <c r="Q64" i="7"/>
  <c r="R63" i="7"/>
  <c r="Q66" i="7"/>
  <c r="Q65" i="7"/>
  <c r="H71" i="5"/>
  <c r="H65" i="5"/>
  <c r="I63" i="5"/>
  <c r="H66" i="5"/>
  <c r="H64" i="5"/>
  <c r="D50" i="7"/>
  <c r="AH50" i="7"/>
  <c r="H49" i="5"/>
  <c r="W71" i="7"/>
  <c r="W65" i="7"/>
  <c r="W66" i="7"/>
  <c r="W64" i="7"/>
  <c r="X63" i="7"/>
  <c r="AB75" i="6"/>
  <c r="AB50" i="6"/>
  <c r="AB51" i="6"/>
  <c r="AB52" i="6"/>
  <c r="AB53" i="6"/>
  <c r="AC49" i="6"/>
  <c r="AB54" i="6"/>
  <c r="AH66" i="7"/>
  <c r="D66" i="7"/>
  <c r="Y21" i="5"/>
  <c r="Y16" i="5"/>
  <c r="K8" i="5"/>
  <c r="K74" i="5" s="1"/>
  <c r="F25" i="5"/>
  <c r="AK25" i="5" s="1"/>
  <c r="AJ25" i="5"/>
  <c r="E43" i="5"/>
  <c r="AI43" i="5"/>
  <c r="BQ29" i="5" s="1"/>
  <c r="F47" i="5"/>
  <c r="AK47" i="5" s="1"/>
  <c r="BS31" i="5" s="1"/>
  <c r="AJ47" i="5"/>
  <c r="BR31" i="5" s="1"/>
  <c r="F15" i="5"/>
  <c r="F73" i="5" s="1"/>
  <c r="E73" i="5"/>
  <c r="D37" i="5"/>
  <c r="AH37" i="5"/>
  <c r="BP28" i="5" s="1"/>
  <c r="F27" i="5"/>
  <c r="AK27" i="5" s="1"/>
  <c r="BS27" i="5" s="1"/>
  <c r="AJ27" i="5"/>
  <c r="BR27" i="5" s="1"/>
  <c r="E29" i="5"/>
  <c r="AI29" i="5"/>
  <c r="F45" i="5"/>
  <c r="AK45" i="5" s="1"/>
  <c r="AJ45" i="5"/>
  <c r="F39" i="5"/>
  <c r="AK39" i="5" s="1"/>
  <c r="AJ39" i="5"/>
  <c r="F35" i="5"/>
  <c r="AK35" i="5" s="1"/>
  <c r="AJ35" i="5"/>
  <c r="E33" i="5"/>
  <c r="AI33" i="5"/>
  <c r="BQ30" i="5" s="1"/>
  <c r="AE23" i="5"/>
  <c r="AD35" i="5"/>
  <c r="AD29" i="5"/>
  <c r="AD39" i="5"/>
  <c r="AD45" i="5"/>
  <c r="AD47" i="5"/>
  <c r="AD25" i="5"/>
  <c r="AD33" i="5"/>
  <c r="AD43" i="5"/>
  <c r="AD27" i="5"/>
  <c r="F8" i="5"/>
  <c r="F74" i="5" s="1"/>
  <c r="E74" i="5"/>
  <c r="AK12" i="5"/>
  <c r="Z23" i="5"/>
  <c r="Y72" i="5"/>
  <c r="Y39" i="5"/>
  <c r="Y25" i="5"/>
  <c r="Y35" i="5"/>
  <c r="Y45" i="5"/>
  <c r="Y29" i="5"/>
  <c r="U23" i="5"/>
  <c r="T72" i="5"/>
  <c r="T45" i="5"/>
  <c r="T29" i="5"/>
  <c r="T39" i="5"/>
  <c r="T25" i="5"/>
  <c r="T35" i="5"/>
  <c r="H71" i="6"/>
  <c r="H66" i="6"/>
  <c r="H64" i="6"/>
  <c r="H65" i="6"/>
  <c r="I63" i="6"/>
  <c r="AI66" i="6"/>
  <c r="AI65" i="6"/>
  <c r="N49" i="6"/>
  <c r="M51" i="6"/>
  <c r="M50" i="6"/>
  <c r="M52" i="6"/>
  <c r="M53" i="6"/>
  <c r="M54" i="6"/>
  <c r="M75" i="6"/>
  <c r="R75" i="6"/>
  <c r="R51" i="6"/>
  <c r="R54" i="6"/>
  <c r="S49" i="6"/>
  <c r="R50" i="6"/>
  <c r="R52" i="6"/>
  <c r="R53" i="6"/>
  <c r="M65" i="6"/>
  <c r="M66" i="6"/>
  <c r="M64" i="6"/>
  <c r="N63" i="6"/>
  <c r="M71" i="6"/>
  <c r="R71" i="6"/>
  <c r="R66" i="6"/>
  <c r="S63" i="6"/>
  <c r="R64" i="6"/>
  <c r="R65" i="6"/>
  <c r="AI50" i="6"/>
  <c r="F63" i="6"/>
  <c r="F71" i="6" s="1"/>
  <c r="E71" i="6"/>
  <c r="E49" i="6"/>
  <c r="AJ52" i="6" s="1"/>
  <c r="D75" i="6"/>
  <c r="AI54" i="6"/>
  <c r="E54" i="6"/>
  <c r="AI52" i="6"/>
  <c r="AI51" i="6"/>
  <c r="X71" i="6"/>
  <c r="X64" i="6"/>
  <c r="X65" i="6"/>
  <c r="X66" i="6"/>
  <c r="Y63" i="6"/>
  <c r="AC71" i="6"/>
  <c r="AD63" i="6"/>
  <c r="AC64" i="6"/>
  <c r="AC65" i="6"/>
  <c r="AC66" i="6"/>
  <c r="K35" i="5"/>
  <c r="K37" i="5" s="1"/>
  <c r="AP37" i="5" s="1"/>
  <c r="BX28" i="5" s="1"/>
  <c r="K39" i="5"/>
  <c r="K43" i="5" s="1"/>
  <c r="AP43" i="5" s="1"/>
  <c r="BX29" i="5" s="1"/>
  <c r="K25" i="5"/>
  <c r="K27" i="5" s="1"/>
  <c r="AP27" i="5" s="1"/>
  <c r="BX27" i="5" s="1"/>
  <c r="K45" i="5"/>
  <c r="K47" i="5" s="1"/>
  <c r="AP47" i="5" s="1"/>
  <c r="BX31" i="5" s="1"/>
  <c r="K29" i="5"/>
  <c r="K33" i="5" s="1"/>
  <c r="AP33" i="5" s="1"/>
  <c r="BX30" i="5" s="1"/>
  <c r="Z13" i="5"/>
  <c r="Z11" i="5"/>
  <c r="Z9" i="5"/>
  <c r="Z12" i="5"/>
  <c r="Z10" i="5"/>
  <c r="Z18" i="5"/>
  <c r="Z16" i="5"/>
  <c r="Z21" i="5"/>
  <c r="Z19" i="5"/>
  <c r="Z17" i="5"/>
  <c r="Z20" i="5"/>
  <c r="AE12" i="5"/>
  <c r="AE10" i="5"/>
  <c r="AE13" i="5"/>
  <c r="AE11" i="5"/>
  <c r="AE9" i="5"/>
  <c r="AE20" i="5"/>
  <c r="AE18" i="5"/>
  <c r="AE16" i="5"/>
  <c r="AE21" i="5"/>
  <c r="AE19" i="5"/>
  <c r="AE17" i="5"/>
  <c r="F18" i="5"/>
  <c r="AK18" i="5" s="1"/>
  <c r="AJ18" i="5"/>
  <c r="AJ19" i="5"/>
  <c r="F19" i="5"/>
  <c r="AK19" i="5" s="1"/>
  <c r="T21" i="5"/>
  <c r="T19" i="5"/>
  <c r="T17" i="5"/>
  <c r="U15" i="5"/>
  <c r="U73" i="5" s="1"/>
  <c r="T20" i="5"/>
  <c r="T18" i="5"/>
  <c r="T16" i="5"/>
  <c r="AJ9" i="5"/>
  <c r="F9" i="5"/>
  <c r="AK9" i="5" s="1"/>
  <c r="O12" i="5"/>
  <c r="O10" i="5"/>
  <c r="P8" i="5"/>
  <c r="P74" i="5" s="1"/>
  <c r="O13" i="5"/>
  <c r="O11" i="5"/>
  <c r="O9" i="5"/>
  <c r="U9" i="5"/>
  <c r="U12" i="5"/>
  <c r="U10" i="5"/>
  <c r="U11" i="5"/>
  <c r="U13" i="5"/>
  <c r="F16" i="5"/>
  <c r="AK16" i="5" s="1"/>
  <c r="AJ16" i="5"/>
  <c r="F20" i="5"/>
  <c r="AK20" i="5" s="1"/>
  <c r="AJ20" i="5"/>
  <c r="P20" i="5"/>
  <c r="P18" i="5"/>
  <c r="P16" i="5"/>
  <c r="P21" i="5"/>
  <c r="P19" i="5"/>
  <c r="P17" i="5"/>
  <c r="AJ21" i="5"/>
  <c r="F21" i="5"/>
  <c r="AK21" i="5" s="1"/>
  <c r="AJ17" i="5"/>
  <c r="F17" i="5"/>
  <c r="AK17" i="5" s="1"/>
  <c r="AJ11" i="5"/>
  <c r="F11" i="5"/>
  <c r="AJ13" i="5"/>
  <c r="F13" i="5"/>
  <c r="F64" i="6"/>
  <c r="AJ64" i="6"/>
  <c r="F25" i="6"/>
  <c r="AK25" i="6" s="1"/>
  <c r="AJ25" i="6"/>
  <c r="F52" i="6"/>
  <c r="F51" i="6"/>
  <c r="K56" i="6"/>
  <c r="J60" i="6"/>
  <c r="J61" i="6"/>
  <c r="J57" i="6"/>
  <c r="J58" i="6"/>
  <c r="J59" i="6"/>
  <c r="F39" i="6"/>
  <c r="AK39" i="6" s="1"/>
  <c r="AJ39" i="6"/>
  <c r="E45" i="6"/>
  <c r="AI45" i="6"/>
  <c r="F50" i="6"/>
  <c r="AJ53" i="6"/>
  <c r="E35" i="6"/>
  <c r="F65" i="6"/>
  <c r="AJ65" i="6"/>
  <c r="F57" i="6"/>
  <c r="AK57" i="6" s="1"/>
  <c r="AJ57" i="6"/>
  <c r="U57" i="6"/>
  <c r="U58" i="6"/>
  <c r="U59" i="6"/>
  <c r="U60" i="6"/>
  <c r="U61" i="6"/>
  <c r="P56" i="6"/>
  <c r="O60" i="6"/>
  <c r="O57" i="6"/>
  <c r="O58" i="6"/>
  <c r="O59" i="6"/>
  <c r="O61" i="6"/>
  <c r="Z60" i="6"/>
  <c r="Z61" i="6"/>
  <c r="Z57" i="6"/>
  <c r="Z58" i="6"/>
  <c r="Z59" i="6"/>
  <c r="E29" i="6"/>
  <c r="AI29" i="6"/>
  <c r="F66" i="6"/>
  <c r="AJ66" i="6"/>
  <c r="P8" i="6"/>
  <c r="O9" i="6"/>
  <c r="O10" i="6"/>
  <c r="O11" i="6"/>
  <c r="O13" i="6"/>
  <c r="O12" i="6"/>
  <c r="Z12" i="6"/>
  <c r="Z13" i="6"/>
  <c r="Z9" i="6"/>
  <c r="Z10" i="6"/>
  <c r="Z11" i="6"/>
  <c r="U11" i="6"/>
  <c r="U12" i="6"/>
  <c r="U9" i="6"/>
  <c r="U10" i="6"/>
  <c r="U13" i="6"/>
  <c r="AD10" i="6"/>
  <c r="AE8" i="6"/>
  <c r="AD11" i="6"/>
  <c r="AD12" i="6"/>
  <c r="AD13" i="6"/>
  <c r="AD9" i="6"/>
  <c r="U23" i="6"/>
  <c r="T45" i="6"/>
  <c r="T35" i="6"/>
  <c r="T29" i="6"/>
  <c r="T25" i="6"/>
  <c r="T39" i="6"/>
  <c r="Y29" i="6"/>
  <c r="Y25" i="6"/>
  <c r="Z23" i="6"/>
  <c r="Y39" i="6"/>
  <c r="Y45" i="6"/>
  <c r="Y35" i="6"/>
  <c r="J16" i="6"/>
  <c r="J17" i="6"/>
  <c r="J18" i="6"/>
  <c r="J19" i="6"/>
  <c r="J21" i="6"/>
  <c r="K15" i="6"/>
  <c r="J20" i="6"/>
  <c r="P15" i="6"/>
  <c r="O18" i="6"/>
  <c r="O19" i="6"/>
  <c r="O20" i="6"/>
  <c r="O21" i="6"/>
  <c r="O16" i="6"/>
  <c r="O17" i="6"/>
  <c r="K8" i="6"/>
  <c r="J12" i="6"/>
  <c r="J13" i="6"/>
  <c r="J9" i="6"/>
  <c r="J10" i="6"/>
  <c r="J11" i="6"/>
  <c r="U15" i="6"/>
  <c r="T21" i="6"/>
  <c r="T16" i="6"/>
  <c r="T17" i="6"/>
  <c r="T19" i="6"/>
  <c r="T20" i="6"/>
  <c r="T18" i="6"/>
  <c r="P39" i="6"/>
  <c r="P45" i="6"/>
  <c r="P35" i="6"/>
  <c r="P29" i="6"/>
  <c r="P25" i="6"/>
  <c r="AE15" i="6"/>
  <c r="AD19" i="6"/>
  <c r="AD20" i="6"/>
  <c r="AD21" i="6"/>
  <c r="AD17" i="6"/>
  <c r="AD16" i="6"/>
  <c r="AD18" i="6"/>
  <c r="Z15" i="6"/>
  <c r="Y16" i="6"/>
  <c r="Y17" i="6"/>
  <c r="Y18" i="6"/>
  <c r="Y19" i="6"/>
  <c r="Y20" i="6"/>
  <c r="Y21" i="6"/>
  <c r="AE23" i="6"/>
  <c r="AD33" i="6"/>
  <c r="AD37" i="6"/>
  <c r="AD45" i="6"/>
  <c r="AD39" i="6"/>
  <c r="AD43" i="6"/>
  <c r="AD35" i="6"/>
  <c r="AD29" i="6"/>
  <c r="AD47" i="6"/>
  <c r="AD27" i="6"/>
  <c r="AD25" i="6"/>
  <c r="K23" i="6"/>
  <c r="J35" i="6"/>
  <c r="J29" i="6"/>
  <c r="J25" i="6"/>
  <c r="J39" i="6"/>
  <c r="J45" i="6"/>
  <c r="F13" i="6"/>
  <c r="AK13" i="6" s="1"/>
  <c r="AK17" i="6"/>
  <c r="AK16" i="6"/>
  <c r="AK19" i="6"/>
  <c r="AK21" i="6"/>
  <c r="AK20" i="6"/>
  <c r="AK18" i="6"/>
  <c r="F32" i="16"/>
  <c r="Q32" i="16" s="1"/>
  <c r="O152" i="16"/>
  <c r="N175" i="16"/>
  <c r="J137" i="16"/>
  <c r="I177" i="16"/>
  <c r="F34" i="16"/>
  <c r="Q34" i="16" s="1"/>
  <c r="F36" i="16"/>
  <c r="Q36" i="16" s="1"/>
  <c r="J152" i="16"/>
  <c r="I175" i="16"/>
  <c r="J144" i="16"/>
  <c r="I176" i="16"/>
  <c r="O137" i="16"/>
  <c r="N177" i="16"/>
  <c r="O144" i="16"/>
  <c r="N176" i="16"/>
  <c r="F152" i="16"/>
  <c r="F175" i="16" s="1"/>
  <c r="E175" i="16"/>
  <c r="F137" i="16"/>
  <c r="F177" i="16" s="1"/>
  <c r="E177" i="16"/>
  <c r="F144" i="16"/>
  <c r="F176" i="16" s="1"/>
  <c r="E176" i="16"/>
  <c r="P54" i="16"/>
  <c r="H126" i="16"/>
  <c r="G165" i="16"/>
  <c r="K65" i="16"/>
  <c r="V65" i="16" s="1"/>
  <c r="K98" i="16"/>
  <c r="K105" i="16"/>
  <c r="O73" i="16"/>
  <c r="O74" i="16"/>
  <c r="W51" i="16"/>
  <c r="K66" i="16"/>
  <c r="V66" i="16" s="1"/>
  <c r="K63" i="16"/>
  <c r="V63" i="16" s="1"/>
  <c r="P31" i="16"/>
  <c r="V10" i="16"/>
  <c r="K67" i="16"/>
  <c r="V67" i="16" s="1"/>
  <c r="R71" i="16"/>
  <c r="N71" i="16"/>
  <c r="R80" i="16"/>
  <c r="R92" i="16"/>
  <c r="T81" i="16"/>
  <c r="O80" i="16"/>
  <c r="P71" i="16"/>
  <c r="N41" i="16"/>
  <c r="D41" i="16"/>
  <c r="C43" i="16"/>
  <c r="N43" i="16" s="1"/>
  <c r="C44" i="16"/>
  <c r="N44" i="16" s="1"/>
  <c r="C45" i="16"/>
  <c r="N45" i="16" s="1"/>
  <c r="C46" i="16"/>
  <c r="N46" i="16" s="1"/>
  <c r="C42" i="16"/>
  <c r="N42" i="16" s="1"/>
  <c r="R93" i="16"/>
  <c r="S66" i="16"/>
  <c r="O72" i="16"/>
  <c r="W78" i="16"/>
  <c r="W64" i="16"/>
  <c r="O63" i="16"/>
  <c r="P65" i="16"/>
  <c r="T72" i="16"/>
  <c r="P75" i="16"/>
  <c r="M43" i="16"/>
  <c r="B85" i="16"/>
  <c r="U67" i="16"/>
  <c r="P66" i="16"/>
  <c r="S70" i="16"/>
  <c r="W72" i="16"/>
  <c r="Q64" i="16"/>
  <c r="W63" i="16"/>
  <c r="F66" i="16"/>
  <c r="F67" i="16"/>
  <c r="F63" i="16"/>
  <c r="F65" i="16"/>
  <c r="T73" i="16"/>
  <c r="T71" i="16"/>
  <c r="S77" i="16"/>
  <c r="P74" i="16"/>
  <c r="N74" i="16"/>
  <c r="N77" i="16"/>
  <c r="R66" i="16"/>
  <c r="O64" i="16"/>
  <c r="R63" i="16"/>
  <c r="P72" i="16"/>
  <c r="T80" i="16"/>
  <c r="O79" i="16"/>
  <c r="P70" i="16"/>
  <c r="R74" i="16"/>
  <c r="N72" i="16"/>
  <c r="R64" i="16"/>
  <c r="P63" i="16"/>
  <c r="W93" i="16"/>
  <c r="T75" i="16"/>
  <c r="T79" i="16"/>
  <c r="V64" i="16"/>
  <c r="C92" i="16"/>
  <c r="D90" i="16"/>
  <c r="C93" i="16"/>
  <c r="C91" i="16"/>
  <c r="W74" i="16"/>
  <c r="M45" i="16"/>
  <c r="B87" i="16"/>
  <c r="W66" i="16"/>
  <c r="R72" i="16"/>
  <c r="S64" i="16"/>
  <c r="S63" i="16"/>
  <c r="R79" i="16"/>
  <c r="D53" i="16"/>
  <c r="N53" i="16"/>
  <c r="T70" i="16"/>
  <c r="O81" i="16"/>
  <c r="P73" i="16"/>
  <c r="L91" i="16"/>
  <c r="M42" i="16"/>
  <c r="B84" i="16"/>
  <c r="H92" i="16"/>
  <c r="I90" i="16"/>
  <c r="H93" i="16"/>
  <c r="H91" i="16"/>
  <c r="U66" i="16"/>
  <c r="W70" i="16"/>
  <c r="N64" i="16"/>
  <c r="T63" i="16"/>
  <c r="T74" i="16"/>
  <c r="T78" i="16"/>
  <c r="L92" i="16"/>
  <c r="M44" i="16"/>
  <c r="B86" i="16"/>
  <c r="G91" i="16"/>
  <c r="O66" i="16"/>
  <c r="N70" i="16"/>
  <c r="R78" i="16"/>
  <c r="W79" i="16"/>
  <c r="O78" i="16"/>
  <c r="M46" i="16"/>
  <c r="B88" i="16"/>
  <c r="N66" i="16"/>
  <c r="R70" i="16"/>
  <c r="P64" i="16"/>
  <c r="N63" i="16"/>
  <c r="P67" i="16"/>
  <c r="U65" i="16"/>
  <c r="U64" i="16"/>
  <c r="E79" i="16"/>
  <c r="E80" i="16"/>
  <c r="F77" i="16"/>
  <c r="E81" i="16"/>
  <c r="E78" i="16"/>
  <c r="F70" i="16"/>
  <c r="F75" i="16"/>
  <c r="F71" i="16"/>
  <c r="F72" i="16"/>
  <c r="F74" i="16"/>
  <c r="F73" i="16"/>
  <c r="K69" i="16"/>
  <c r="J73" i="16"/>
  <c r="J72" i="16"/>
  <c r="J74" i="16"/>
  <c r="J70" i="16"/>
  <c r="J75" i="16"/>
  <c r="J71" i="16"/>
  <c r="J81" i="16"/>
  <c r="J78" i="16"/>
  <c r="J79" i="16"/>
  <c r="J80" i="16"/>
  <c r="K77" i="16"/>
  <c r="G54" i="16"/>
  <c r="Q54" i="16"/>
  <c r="N52" i="16"/>
  <c r="D52" i="16"/>
  <c r="U25" i="16"/>
  <c r="V29" i="16"/>
  <c r="P28" i="16"/>
  <c r="K20" i="16"/>
  <c r="V20" i="16" s="1"/>
  <c r="K23" i="16"/>
  <c r="V23" i="16" s="1"/>
  <c r="K18" i="16"/>
  <c r="V18" i="16" s="1"/>
  <c r="K21" i="16"/>
  <c r="V21" i="16" s="1"/>
  <c r="K19" i="16"/>
  <c r="V19" i="16" s="1"/>
  <c r="K22" i="16"/>
  <c r="V22" i="16" s="1"/>
  <c r="K32" i="16"/>
  <c r="V32" i="16" s="1"/>
  <c r="K35" i="16"/>
  <c r="V35" i="16" s="1"/>
  <c r="L45" i="16" s="1"/>
  <c r="W45" i="16" s="1"/>
  <c r="K33" i="16"/>
  <c r="V33" i="16" s="1"/>
  <c r="L43" i="16" s="1"/>
  <c r="W43" i="16" s="1"/>
  <c r="K36" i="16"/>
  <c r="V36" i="16" s="1"/>
  <c r="L46" i="16" s="1"/>
  <c r="W46" i="16" s="1"/>
  <c r="K34" i="16"/>
  <c r="V34" i="16" s="1"/>
  <c r="L44" i="16" s="1"/>
  <c r="W44" i="16" s="1"/>
  <c r="Q10" i="16"/>
  <c r="V28" i="16"/>
  <c r="F27" i="16"/>
  <c r="Q27" i="16" s="1"/>
  <c r="F28" i="16"/>
  <c r="F29" i="16"/>
  <c r="F26" i="16"/>
  <c r="Q26" i="16" s="1"/>
  <c r="P29" i="16"/>
  <c r="U17" i="16"/>
  <c r="Q17" i="16"/>
  <c r="U31" i="16"/>
  <c r="AI53" i="6" l="1"/>
  <c r="X71" i="7"/>
  <c r="X64" i="7"/>
  <c r="X65" i="7"/>
  <c r="Y63" i="7"/>
  <c r="X66" i="7"/>
  <c r="AI65" i="7"/>
  <c r="E65" i="7"/>
  <c r="M75" i="7"/>
  <c r="M50" i="7"/>
  <c r="M53" i="7"/>
  <c r="M51" i="7"/>
  <c r="N49" i="7"/>
  <c r="M54" i="7"/>
  <c r="M52" i="7"/>
  <c r="E49" i="7"/>
  <c r="D75" i="7"/>
  <c r="AC75" i="5"/>
  <c r="AD49" i="5"/>
  <c r="AC54" i="5"/>
  <c r="AC51" i="5"/>
  <c r="AC53" i="5"/>
  <c r="AC52" i="5"/>
  <c r="AC50" i="5"/>
  <c r="I75" i="6"/>
  <c r="I54" i="6"/>
  <c r="I50" i="6"/>
  <c r="I52" i="6"/>
  <c r="I51" i="6"/>
  <c r="I53" i="6"/>
  <c r="J49" i="6"/>
  <c r="E53" i="5"/>
  <c r="AI53" i="5"/>
  <c r="AJ50" i="6"/>
  <c r="AC75" i="6"/>
  <c r="AC51" i="6"/>
  <c r="AD49" i="6"/>
  <c r="AC50" i="6"/>
  <c r="AC54" i="6"/>
  <c r="AC52" i="6"/>
  <c r="AC53" i="6"/>
  <c r="I71" i="5"/>
  <c r="I65" i="5"/>
  <c r="I66" i="5"/>
  <c r="J63" i="5"/>
  <c r="I64" i="5"/>
  <c r="E52" i="7"/>
  <c r="AI52" i="7"/>
  <c r="X75" i="7"/>
  <c r="X53" i="7"/>
  <c r="X51" i="7"/>
  <c r="X50" i="7"/>
  <c r="Y49" i="7"/>
  <c r="X54" i="7"/>
  <c r="X52" i="7"/>
  <c r="AC75" i="7"/>
  <c r="AD49" i="7"/>
  <c r="AC51" i="7"/>
  <c r="AC54" i="7"/>
  <c r="AC52" i="7"/>
  <c r="AC50" i="7"/>
  <c r="AC53" i="7"/>
  <c r="AI66" i="5"/>
  <c r="E66" i="5"/>
  <c r="AI53" i="7"/>
  <c r="E53" i="7"/>
  <c r="M71" i="7"/>
  <c r="M64" i="7"/>
  <c r="N63" i="7"/>
  <c r="M65" i="7"/>
  <c r="M66" i="7"/>
  <c r="AJ51" i="6"/>
  <c r="R71" i="5"/>
  <c r="S63" i="5"/>
  <c r="R65" i="5"/>
  <c r="R66" i="5"/>
  <c r="R64" i="5"/>
  <c r="X75" i="6"/>
  <c r="Y49" i="6"/>
  <c r="X54" i="6"/>
  <c r="X52" i="6"/>
  <c r="X51" i="6"/>
  <c r="X50" i="6"/>
  <c r="X53" i="6"/>
  <c r="M71" i="5"/>
  <c r="M66" i="5"/>
  <c r="M64" i="5"/>
  <c r="N63" i="5"/>
  <c r="M65" i="5"/>
  <c r="AI51" i="5"/>
  <c r="E51" i="5"/>
  <c r="E50" i="5"/>
  <c r="AI50" i="5"/>
  <c r="I75" i="7"/>
  <c r="I53" i="7"/>
  <c r="I51" i="7"/>
  <c r="J49" i="7"/>
  <c r="I54" i="7"/>
  <c r="I52" i="7"/>
  <c r="I50" i="7"/>
  <c r="H75" i="5"/>
  <c r="H53" i="5"/>
  <c r="H51" i="5"/>
  <c r="H52" i="5"/>
  <c r="I49" i="5"/>
  <c r="H50" i="5"/>
  <c r="H54" i="5"/>
  <c r="E54" i="5"/>
  <c r="AI54" i="5"/>
  <c r="R75" i="7"/>
  <c r="R50" i="7"/>
  <c r="R52" i="7"/>
  <c r="R53" i="7"/>
  <c r="R54" i="7"/>
  <c r="R51" i="7"/>
  <c r="S49" i="7"/>
  <c r="E63" i="7"/>
  <c r="D71" i="7"/>
  <c r="R75" i="5"/>
  <c r="R54" i="5"/>
  <c r="R50" i="5"/>
  <c r="R52" i="5"/>
  <c r="S49" i="5"/>
  <c r="R53" i="5"/>
  <c r="R51" i="5"/>
  <c r="E52" i="5"/>
  <c r="AI52" i="5"/>
  <c r="E64" i="7"/>
  <c r="AI64" i="7"/>
  <c r="D71" i="5"/>
  <c r="E63" i="5"/>
  <c r="AI65" i="5"/>
  <c r="E65" i="5"/>
  <c r="E51" i="7"/>
  <c r="AI51" i="7"/>
  <c r="I71" i="7"/>
  <c r="I65" i="7"/>
  <c r="J63" i="7"/>
  <c r="I66" i="7"/>
  <c r="I64" i="7"/>
  <c r="AC66" i="5"/>
  <c r="AC71" i="5"/>
  <c r="AC64" i="5"/>
  <c r="AD63" i="5"/>
  <c r="AC65" i="5"/>
  <c r="E54" i="7"/>
  <c r="AI54" i="7"/>
  <c r="AI66" i="7"/>
  <c r="E66" i="7"/>
  <c r="E50" i="7"/>
  <c r="AI50" i="7"/>
  <c r="R71" i="7"/>
  <c r="S63" i="7"/>
  <c r="R66" i="7"/>
  <c r="R64" i="7"/>
  <c r="R65" i="7"/>
  <c r="X52" i="5"/>
  <c r="Y49" i="5"/>
  <c r="X75" i="5"/>
  <c r="X50" i="5"/>
  <c r="X54" i="5"/>
  <c r="X53" i="5"/>
  <c r="X51" i="5"/>
  <c r="M75" i="5"/>
  <c r="M51" i="5"/>
  <c r="N49" i="5"/>
  <c r="M54" i="5"/>
  <c r="M52" i="5"/>
  <c r="M50" i="5"/>
  <c r="M53" i="5"/>
  <c r="AC71" i="7"/>
  <c r="AC65" i="7"/>
  <c r="AD63" i="7"/>
  <c r="AC66" i="7"/>
  <c r="AC64" i="7"/>
  <c r="X71" i="5"/>
  <c r="X65" i="5"/>
  <c r="Y63" i="5"/>
  <c r="X64" i="5"/>
  <c r="X66" i="5"/>
  <c r="E49" i="5"/>
  <c r="D75" i="5"/>
  <c r="E64" i="5"/>
  <c r="F64" i="5" s="1"/>
  <c r="AI64" i="5"/>
  <c r="AK13" i="5"/>
  <c r="AK11" i="5"/>
  <c r="AK10" i="5"/>
  <c r="U72" i="5"/>
  <c r="U45" i="5"/>
  <c r="U29" i="5"/>
  <c r="U39" i="5"/>
  <c r="U25" i="5"/>
  <c r="U35" i="5"/>
  <c r="E37" i="5"/>
  <c r="AI37" i="5"/>
  <c r="BQ28" i="5" s="1"/>
  <c r="AE45" i="5"/>
  <c r="AE39" i="5"/>
  <c r="AE47" i="5"/>
  <c r="AE25" i="5"/>
  <c r="AE29" i="5"/>
  <c r="AE33" i="5"/>
  <c r="AE27" i="5"/>
  <c r="AE35" i="5"/>
  <c r="AE43" i="5"/>
  <c r="F33" i="5"/>
  <c r="AK33" i="5" s="1"/>
  <c r="BS30" i="5" s="1"/>
  <c r="AJ33" i="5"/>
  <c r="BR30" i="5" s="1"/>
  <c r="Z72" i="5"/>
  <c r="Z39" i="5"/>
  <c r="Z25" i="5"/>
  <c r="Z35" i="5"/>
  <c r="Z45" i="5"/>
  <c r="Z29" i="5"/>
  <c r="F29" i="5"/>
  <c r="AK29" i="5" s="1"/>
  <c r="AJ29" i="5"/>
  <c r="F43" i="5"/>
  <c r="AK43" i="5" s="1"/>
  <c r="BS29" i="5" s="1"/>
  <c r="AJ43" i="5"/>
  <c r="BR29" i="5" s="1"/>
  <c r="AK65" i="6"/>
  <c r="N71" i="6"/>
  <c r="O63" i="6"/>
  <c r="N66" i="6"/>
  <c r="N64" i="6"/>
  <c r="N65" i="6"/>
  <c r="N75" i="6"/>
  <c r="N51" i="6"/>
  <c r="N53" i="6"/>
  <c r="N54" i="6"/>
  <c r="N52" i="6"/>
  <c r="O49" i="6"/>
  <c r="N50" i="6"/>
  <c r="S71" i="6"/>
  <c r="S65" i="6"/>
  <c r="S66" i="6"/>
  <c r="T63" i="6"/>
  <c r="S64" i="6"/>
  <c r="I71" i="6"/>
  <c r="I64" i="6"/>
  <c r="J63" i="6"/>
  <c r="I65" i="6"/>
  <c r="I66" i="6"/>
  <c r="S75" i="6"/>
  <c r="S51" i="6"/>
  <c r="S52" i="6"/>
  <c r="S53" i="6"/>
  <c r="T49" i="6"/>
  <c r="S50" i="6"/>
  <c r="S54" i="6"/>
  <c r="AJ54" i="6"/>
  <c r="F54" i="6"/>
  <c r="AK64" i="6"/>
  <c r="Y71" i="6"/>
  <c r="Y64" i="6"/>
  <c r="Y65" i="6"/>
  <c r="Y66" i="6"/>
  <c r="Z63" i="6"/>
  <c r="AD71" i="6"/>
  <c r="AD65" i="6"/>
  <c r="AE63" i="6"/>
  <c r="AD66" i="6"/>
  <c r="AD64" i="6"/>
  <c r="F49" i="6"/>
  <c r="F75" i="6" s="1"/>
  <c r="E75" i="6"/>
  <c r="AK66" i="6"/>
  <c r="P12" i="5"/>
  <c r="P10" i="5"/>
  <c r="P13" i="5"/>
  <c r="P11" i="5"/>
  <c r="P9" i="5"/>
  <c r="U21" i="5"/>
  <c r="U19" i="5"/>
  <c r="U17" i="5"/>
  <c r="U20" i="5"/>
  <c r="U18" i="5"/>
  <c r="U16" i="5"/>
  <c r="F29" i="6"/>
  <c r="AK29" i="6" s="1"/>
  <c r="AJ29" i="6"/>
  <c r="F45" i="6"/>
  <c r="AK45" i="6" s="1"/>
  <c r="AJ45" i="6"/>
  <c r="K59" i="6"/>
  <c r="K60" i="6"/>
  <c r="K61" i="6"/>
  <c r="K57" i="6"/>
  <c r="K58" i="6"/>
  <c r="F35" i="6"/>
  <c r="P57" i="6"/>
  <c r="P58" i="6"/>
  <c r="P59" i="6"/>
  <c r="P60" i="6"/>
  <c r="P61" i="6"/>
  <c r="K16" i="6"/>
  <c r="K17" i="6"/>
  <c r="K18" i="6"/>
  <c r="K20" i="6"/>
  <c r="K21" i="6"/>
  <c r="K19" i="6"/>
  <c r="U20" i="6"/>
  <c r="U21" i="6"/>
  <c r="U16" i="6"/>
  <c r="U18" i="6"/>
  <c r="U17" i="6"/>
  <c r="U19" i="6"/>
  <c r="Z35" i="6"/>
  <c r="Z29" i="6"/>
  <c r="Z25" i="6"/>
  <c r="Z39" i="6"/>
  <c r="Z45" i="6"/>
  <c r="U45" i="6"/>
  <c r="U35" i="6"/>
  <c r="U29" i="6"/>
  <c r="U25" i="6"/>
  <c r="U39" i="6"/>
  <c r="K45" i="6"/>
  <c r="K35" i="6"/>
  <c r="K29" i="6"/>
  <c r="K25" i="6"/>
  <c r="K39" i="6"/>
  <c r="AE18" i="6"/>
  <c r="AE19" i="6"/>
  <c r="AE20" i="6"/>
  <c r="AE21" i="6"/>
  <c r="AE16" i="6"/>
  <c r="AE17" i="6"/>
  <c r="Z16" i="6"/>
  <c r="Z17" i="6"/>
  <c r="Z18" i="6"/>
  <c r="Z19" i="6"/>
  <c r="Z21" i="6"/>
  <c r="Z20" i="6"/>
  <c r="P17" i="6"/>
  <c r="P18" i="6"/>
  <c r="P19" i="6"/>
  <c r="P20" i="6"/>
  <c r="P21" i="6"/>
  <c r="P16" i="6"/>
  <c r="AE9" i="6"/>
  <c r="AE10" i="6"/>
  <c r="AE11" i="6"/>
  <c r="AE13" i="6"/>
  <c r="AE12" i="6"/>
  <c r="AE47" i="6"/>
  <c r="AE27" i="6"/>
  <c r="AE33" i="6"/>
  <c r="AE37" i="6"/>
  <c r="AE43" i="6"/>
  <c r="AE45" i="6"/>
  <c r="AE39" i="6"/>
  <c r="AE25" i="6"/>
  <c r="AE35" i="6"/>
  <c r="AE29" i="6"/>
  <c r="K12" i="6"/>
  <c r="K13" i="6"/>
  <c r="K9" i="6"/>
  <c r="K11" i="6"/>
  <c r="K10" i="6"/>
  <c r="P13" i="6"/>
  <c r="P9" i="6"/>
  <c r="P10" i="6"/>
  <c r="P11" i="6"/>
  <c r="P12" i="6"/>
  <c r="Q31" i="16"/>
  <c r="G174" i="16"/>
  <c r="M165" i="16"/>
  <c r="K152" i="16"/>
  <c r="K175" i="16" s="1"/>
  <c r="J175" i="16"/>
  <c r="P137" i="16"/>
  <c r="O177" i="16"/>
  <c r="K137" i="16"/>
  <c r="K177" i="16" s="1"/>
  <c r="J177" i="16"/>
  <c r="P144" i="16"/>
  <c r="O176" i="16"/>
  <c r="K144" i="16"/>
  <c r="K176" i="16" s="1"/>
  <c r="J176" i="16"/>
  <c r="P152" i="16"/>
  <c r="O175" i="16"/>
  <c r="H165" i="16"/>
  <c r="C165" i="16"/>
  <c r="I126" i="16"/>
  <c r="O69" i="16"/>
  <c r="P69" i="16"/>
  <c r="U72" i="16"/>
  <c r="Q75" i="16"/>
  <c r="S92" i="16"/>
  <c r="N91" i="16"/>
  <c r="R62" i="16"/>
  <c r="Q65" i="16"/>
  <c r="U81" i="16"/>
  <c r="U73" i="16"/>
  <c r="Q70" i="16"/>
  <c r="U62" i="16"/>
  <c r="N69" i="16"/>
  <c r="O53" i="16"/>
  <c r="E53" i="16"/>
  <c r="N93" i="16"/>
  <c r="Q63" i="16"/>
  <c r="M85" i="16"/>
  <c r="N51" i="16"/>
  <c r="V62" i="16"/>
  <c r="R69" i="16"/>
  <c r="N92" i="16"/>
  <c r="W69" i="16"/>
  <c r="D92" i="16"/>
  <c r="E90" i="16"/>
  <c r="D91" i="16"/>
  <c r="D93" i="16"/>
  <c r="Q67" i="16"/>
  <c r="U80" i="16"/>
  <c r="U71" i="16"/>
  <c r="Q73" i="16"/>
  <c r="P81" i="16"/>
  <c r="R91" i="16"/>
  <c r="M87" i="16"/>
  <c r="Q66" i="16"/>
  <c r="S69" i="16"/>
  <c r="U79" i="16"/>
  <c r="U75" i="16"/>
  <c r="Q74" i="16"/>
  <c r="M86" i="16"/>
  <c r="S91" i="16"/>
  <c r="W91" i="16"/>
  <c r="S62" i="16"/>
  <c r="P78" i="16"/>
  <c r="M84" i="16"/>
  <c r="W77" i="16"/>
  <c r="U70" i="16"/>
  <c r="Q72" i="16"/>
  <c r="P80" i="16"/>
  <c r="T77" i="16"/>
  <c r="M88" i="16"/>
  <c r="T62" i="16"/>
  <c r="S93" i="16"/>
  <c r="P62" i="16"/>
  <c r="W62" i="16"/>
  <c r="O62" i="16"/>
  <c r="O41" i="16"/>
  <c r="D46" i="16"/>
  <c r="O46" i="16" s="1"/>
  <c r="D42" i="16"/>
  <c r="O42" i="16" s="1"/>
  <c r="E41" i="16"/>
  <c r="D43" i="16"/>
  <c r="O43" i="16" s="1"/>
  <c r="D45" i="16"/>
  <c r="O45" i="16" s="1"/>
  <c r="D44" i="16"/>
  <c r="O44" i="16" s="1"/>
  <c r="U78" i="16"/>
  <c r="U74" i="16"/>
  <c r="O77" i="16"/>
  <c r="Q71" i="16"/>
  <c r="P79" i="16"/>
  <c r="T69" i="16"/>
  <c r="N62" i="16"/>
  <c r="R77" i="16"/>
  <c r="W92" i="16"/>
  <c r="J90" i="16"/>
  <c r="I93" i="16"/>
  <c r="I91" i="16"/>
  <c r="I92" i="16"/>
  <c r="K78" i="16"/>
  <c r="K79" i="16"/>
  <c r="K80" i="16"/>
  <c r="K81" i="16"/>
  <c r="K73" i="16"/>
  <c r="K74" i="16"/>
  <c r="K70" i="16"/>
  <c r="K75" i="16"/>
  <c r="K71" i="16"/>
  <c r="K72" i="16"/>
  <c r="F80" i="16"/>
  <c r="F81" i="16"/>
  <c r="F78" i="16"/>
  <c r="F79" i="16"/>
  <c r="H54" i="16"/>
  <c r="R54" i="16"/>
  <c r="O52" i="16"/>
  <c r="E52" i="16"/>
  <c r="V25" i="16"/>
  <c r="P25" i="16"/>
  <c r="Q29" i="16"/>
  <c r="V17" i="16"/>
  <c r="Q28" i="16"/>
  <c r="V31" i="16"/>
  <c r="AK53" i="6" l="1"/>
  <c r="AK54" i="6"/>
  <c r="AD71" i="5"/>
  <c r="AD66" i="5"/>
  <c r="AE63" i="5"/>
  <c r="AD65" i="5"/>
  <c r="AD64" i="5"/>
  <c r="AJ64" i="7"/>
  <c r="F64" i="7"/>
  <c r="AK64" i="7" s="1"/>
  <c r="N71" i="5"/>
  <c r="O63" i="5"/>
  <c r="N66" i="5"/>
  <c r="N65" i="5"/>
  <c r="N64" i="5"/>
  <c r="F66" i="5"/>
  <c r="AJ66" i="5"/>
  <c r="AJ53" i="5"/>
  <c r="F53" i="5"/>
  <c r="F49" i="7"/>
  <c r="F75" i="7" s="1"/>
  <c r="E75" i="7"/>
  <c r="AJ65" i="7"/>
  <c r="F65" i="7"/>
  <c r="J75" i="7"/>
  <c r="K49" i="7"/>
  <c r="J54" i="7"/>
  <c r="J50" i="7"/>
  <c r="J52" i="7"/>
  <c r="J53" i="7"/>
  <c r="J51" i="7"/>
  <c r="AD75" i="7"/>
  <c r="AE49" i="7"/>
  <c r="AD51" i="7"/>
  <c r="AD54" i="7"/>
  <c r="AD52" i="7"/>
  <c r="AD50" i="7"/>
  <c r="AD53" i="7"/>
  <c r="AK52" i="6"/>
  <c r="Y75" i="6"/>
  <c r="Z49" i="6"/>
  <c r="Y53" i="6"/>
  <c r="Y51" i="6"/>
  <c r="Y50" i="6"/>
  <c r="Y54" i="6"/>
  <c r="Y52" i="6"/>
  <c r="F52" i="7"/>
  <c r="AK52" i="7" s="1"/>
  <c r="AJ52" i="7"/>
  <c r="J75" i="6"/>
  <c r="J51" i="6"/>
  <c r="J50" i="6"/>
  <c r="K49" i="6"/>
  <c r="J52" i="6"/>
  <c r="J53" i="6"/>
  <c r="J54" i="6"/>
  <c r="I75" i="5"/>
  <c r="J49" i="5"/>
  <c r="I50" i="5"/>
  <c r="I54" i="5"/>
  <c r="I51" i="5"/>
  <c r="I53" i="5"/>
  <c r="I52" i="5"/>
  <c r="F50" i="7"/>
  <c r="AK50" i="7" s="1"/>
  <c r="AJ50" i="7"/>
  <c r="F52" i="5"/>
  <c r="AK52" i="5" s="1"/>
  <c r="AJ52" i="5"/>
  <c r="AK50" i="6"/>
  <c r="E75" i="5"/>
  <c r="F49" i="5"/>
  <c r="F75" i="5" s="1"/>
  <c r="AD71" i="7"/>
  <c r="AD64" i="7"/>
  <c r="AD65" i="7"/>
  <c r="AE63" i="7"/>
  <c r="AD66" i="7"/>
  <c r="AJ66" i="7"/>
  <c r="F66" i="7"/>
  <c r="F65" i="5"/>
  <c r="AJ65" i="5"/>
  <c r="F63" i="7"/>
  <c r="F71" i="7" s="1"/>
  <c r="E71" i="7"/>
  <c r="N71" i="7"/>
  <c r="N65" i="7"/>
  <c r="O63" i="7"/>
  <c r="N66" i="7"/>
  <c r="N64" i="7"/>
  <c r="Y75" i="7"/>
  <c r="Y51" i="7"/>
  <c r="Z49" i="7"/>
  <c r="Y54" i="7"/>
  <c r="Y52" i="7"/>
  <c r="Y50" i="7"/>
  <c r="Y53" i="7"/>
  <c r="J71" i="5"/>
  <c r="K63" i="5"/>
  <c r="J65" i="5"/>
  <c r="J66" i="5"/>
  <c r="J64" i="5"/>
  <c r="AD75" i="6"/>
  <c r="AD53" i="6"/>
  <c r="AD50" i="6"/>
  <c r="AD51" i="6"/>
  <c r="AD54" i="6"/>
  <c r="AD52" i="6"/>
  <c r="AE49" i="6"/>
  <c r="N75" i="7"/>
  <c r="N54" i="7"/>
  <c r="N52" i="7"/>
  <c r="N50" i="7"/>
  <c r="N53" i="7"/>
  <c r="N51" i="7"/>
  <c r="O49" i="7"/>
  <c r="Y71" i="7"/>
  <c r="Y65" i="7"/>
  <c r="Z63" i="7"/>
  <c r="Y66" i="7"/>
  <c r="Y64" i="7"/>
  <c r="Y50" i="5"/>
  <c r="Y53" i="5"/>
  <c r="Y51" i="5"/>
  <c r="Y52" i="5"/>
  <c r="Y75" i="5"/>
  <c r="Z49" i="5"/>
  <c r="Y54" i="5"/>
  <c r="AJ51" i="7"/>
  <c r="F51" i="7"/>
  <c r="AK51" i="7" s="1"/>
  <c r="S75" i="7"/>
  <c r="S54" i="7"/>
  <c r="S52" i="7"/>
  <c r="T49" i="7"/>
  <c r="S50" i="7"/>
  <c r="S51" i="7"/>
  <c r="S53" i="7"/>
  <c r="F54" i="5"/>
  <c r="AK54" i="5" s="1"/>
  <c r="AJ54" i="5"/>
  <c r="AJ50" i="5"/>
  <c r="F50" i="5"/>
  <c r="AK50" i="5" s="1"/>
  <c r="AJ64" i="5"/>
  <c r="F63" i="5"/>
  <c r="F71" i="5" s="1"/>
  <c r="E71" i="5"/>
  <c r="S75" i="5"/>
  <c r="S50" i="5"/>
  <c r="S53" i="5"/>
  <c r="S51" i="5"/>
  <c r="S54" i="5"/>
  <c r="S52" i="5"/>
  <c r="T49" i="5"/>
  <c r="F51" i="5"/>
  <c r="AK51" i="5" s="1"/>
  <c r="AJ51" i="5"/>
  <c r="AD75" i="5"/>
  <c r="AD50" i="5"/>
  <c r="AD51" i="5"/>
  <c r="AD53" i="5"/>
  <c r="AE49" i="5"/>
  <c r="AD54" i="5"/>
  <c r="AD52" i="5"/>
  <c r="S71" i="7"/>
  <c r="S66" i="7"/>
  <c r="S64" i="7"/>
  <c r="S65" i="7"/>
  <c r="T63" i="7"/>
  <c r="N75" i="5"/>
  <c r="N52" i="5"/>
  <c r="N50" i="5"/>
  <c r="N53" i="5"/>
  <c r="O49" i="5"/>
  <c r="N54" i="5"/>
  <c r="N51" i="5"/>
  <c r="Y71" i="5"/>
  <c r="Y64" i="5"/>
  <c r="Z63" i="5"/>
  <c r="Y65" i="5"/>
  <c r="Y66" i="5"/>
  <c r="AJ54" i="7"/>
  <c r="F54" i="7"/>
  <c r="AK54" i="7" s="1"/>
  <c r="J71" i="7"/>
  <c r="K63" i="7"/>
  <c r="J66" i="7"/>
  <c r="J65" i="7"/>
  <c r="J64" i="7"/>
  <c r="S71" i="5"/>
  <c r="S64" i="5"/>
  <c r="S66" i="5"/>
  <c r="T63" i="5"/>
  <c r="S65" i="5"/>
  <c r="AJ53" i="7"/>
  <c r="F53" i="7"/>
  <c r="AK53" i="7" s="1"/>
  <c r="F37" i="5"/>
  <c r="AK37" i="5" s="1"/>
  <c r="BS28" i="5" s="1"/>
  <c r="AJ37" i="5"/>
  <c r="BR28" i="5" s="1"/>
  <c r="J71" i="6"/>
  <c r="K63" i="6"/>
  <c r="J65" i="6"/>
  <c r="J64" i="6"/>
  <c r="J66" i="6"/>
  <c r="T75" i="6"/>
  <c r="U49" i="6"/>
  <c r="T50" i="6"/>
  <c r="T51" i="6"/>
  <c r="T52" i="6"/>
  <c r="T54" i="6"/>
  <c r="T53" i="6"/>
  <c r="O75" i="6"/>
  <c r="O53" i="6"/>
  <c r="P49" i="6"/>
  <c r="O50" i="6"/>
  <c r="O54" i="6"/>
  <c r="O52" i="6"/>
  <c r="O51" i="6"/>
  <c r="O65" i="6"/>
  <c r="O64" i="6"/>
  <c r="O71" i="6"/>
  <c r="P63" i="6"/>
  <c r="O66" i="6"/>
  <c r="T71" i="6"/>
  <c r="T64" i="6"/>
  <c r="T65" i="6"/>
  <c r="T66" i="6"/>
  <c r="U63" i="6"/>
  <c r="AE71" i="6"/>
  <c r="AE65" i="6"/>
  <c r="AE66" i="6"/>
  <c r="AE64" i="6"/>
  <c r="Z71" i="6"/>
  <c r="Z64" i="6"/>
  <c r="Z65" i="6"/>
  <c r="Z66" i="6"/>
  <c r="AK51" i="6"/>
  <c r="I165" i="16"/>
  <c r="H174" i="16"/>
  <c r="D165" i="16"/>
  <c r="C174" i="16"/>
  <c r="Q152" i="16"/>
  <c r="P175" i="16"/>
  <c r="Q137" i="16"/>
  <c r="P177" i="16"/>
  <c r="M174" i="16"/>
  <c r="N165" i="16"/>
  <c r="Q144" i="16"/>
  <c r="P176" i="16"/>
  <c r="O51" i="16"/>
  <c r="J126" i="16"/>
  <c r="Q78" i="16"/>
  <c r="V72" i="16"/>
  <c r="V79" i="16"/>
  <c r="T92" i="16"/>
  <c r="P41" i="16"/>
  <c r="E46" i="16"/>
  <c r="P46" i="16" s="1"/>
  <c r="E42" i="16"/>
  <c r="P42" i="16" s="1"/>
  <c r="E43" i="16"/>
  <c r="P43" i="16" s="1"/>
  <c r="F41" i="16"/>
  <c r="E44" i="16"/>
  <c r="P44" i="16" s="1"/>
  <c r="E45" i="16"/>
  <c r="P45" i="16" s="1"/>
  <c r="O91" i="16"/>
  <c r="V71" i="16"/>
  <c r="T91" i="16"/>
  <c r="L87" i="16"/>
  <c r="E92" i="16"/>
  <c r="F90" i="16"/>
  <c r="E93" i="16"/>
  <c r="E91" i="16"/>
  <c r="Q62" i="16"/>
  <c r="Q81" i="16"/>
  <c r="V78" i="16"/>
  <c r="V70" i="16"/>
  <c r="J92" i="16"/>
  <c r="J91" i="16"/>
  <c r="K90" i="16"/>
  <c r="J93" i="16"/>
  <c r="M83" i="16"/>
  <c r="L84" i="16"/>
  <c r="V80" i="16"/>
  <c r="V75" i="16"/>
  <c r="T93" i="16"/>
  <c r="O92" i="16"/>
  <c r="Q80" i="16"/>
  <c r="V74" i="16"/>
  <c r="Q69" i="16"/>
  <c r="F53" i="16"/>
  <c r="P53" i="16"/>
  <c r="Q79" i="16"/>
  <c r="U77" i="16"/>
  <c r="V73" i="16"/>
  <c r="U69" i="16"/>
  <c r="V81" i="16"/>
  <c r="L88" i="16"/>
  <c r="P77" i="16"/>
  <c r="L86" i="16"/>
  <c r="L85" i="16"/>
  <c r="O93" i="16"/>
  <c r="P52" i="16"/>
  <c r="F52" i="16"/>
  <c r="S54" i="16"/>
  <c r="I54" i="16"/>
  <c r="Q25" i="16"/>
  <c r="Z71" i="7" l="1"/>
  <c r="Z66" i="7"/>
  <c r="Z64" i="7"/>
  <c r="Z65" i="7"/>
  <c r="AE75" i="5"/>
  <c r="AE54" i="5"/>
  <c r="AE50" i="5"/>
  <c r="AE53" i="5"/>
  <c r="AE51" i="5"/>
  <c r="AE52" i="5"/>
  <c r="T75" i="7"/>
  <c r="U49" i="7"/>
  <c r="T54" i="7"/>
  <c r="T52" i="7"/>
  <c r="T50" i="7"/>
  <c r="T53" i="7"/>
  <c r="T51" i="7"/>
  <c r="AE71" i="7"/>
  <c r="AE65" i="7"/>
  <c r="AE66" i="7"/>
  <c r="AE64" i="7"/>
  <c r="J75" i="5"/>
  <c r="J53" i="5"/>
  <c r="J50" i="5"/>
  <c r="J54" i="5"/>
  <c r="J51" i="5"/>
  <c r="K49" i="5"/>
  <c r="J52" i="5"/>
  <c r="Z75" i="6"/>
  <c r="Z53" i="6"/>
  <c r="Z54" i="6"/>
  <c r="Z50" i="6"/>
  <c r="Z51" i="6"/>
  <c r="Z52" i="6"/>
  <c r="K75" i="7"/>
  <c r="K53" i="7"/>
  <c r="K52" i="7"/>
  <c r="K54" i="7"/>
  <c r="K50" i="7"/>
  <c r="K51" i="7"/>
  <c r="Z75" i="5"/>
  <c r="Z50" i="5"/>
  <c r="Z52" i="5"/>
  <c r="Z53" i="5"/>
  <c r="Z54" i="5"/>
  <c r="Z51" i="5"/>
  <c r="K71" i="7"/>
  <c r="K66" i="7"/>
  <c r="K64" i="7"/>
  <c r="K65" i="7"/>
  <c r="T71" i="7"/>
  <c r="T64" i="7"/>
  <c r="T65" i="7"/>
  <c r="U63" i="7"/>
  <c r="T66" i="7"/>
  <c r="AE75" i="6"/>
  <c r="AE53" i="6"/>
  <c r="AE52" i="6"/>
  <c r="AE51" i="6"/>
  <c r="AE54" i="6"/>
  <c r="AE50" i="6"/>
  <c r="Z75" i="7"/>
  <c r="Z52" i="7"/>
  <c r="Z54" i="7"/>
  <c r="Z50" i="7"/>
  <c r="Z51" i="7"/>
  <c r="Z53" i="7"/>
  <c r="AE75" i="7"/>
  <c r="AE52" i="7"/>
  <c r="AE53" i="7"/>
  <c r="AE51" i="7"/>
  <c r="AE50" i="7"/>
  <c r="AE54" i="7"/>
  <c r="AK66" i="5"/>
  <c r="T75" i="5"/>
  <c r="U49" i="5"/>
  <c r="T54" i="5"/>
  <c r="T53" i="5"/>
  <c r="T51" i="5"/>
  <c r="T52" i="5"/>
  <c r="T50" i="5"/>
  <c r="O75" i="7"/>
  <c r="O50" i="7"/>
  <c r="O52" i="7"/>
  <c r="O54" i="7"/>
  <c r="O53" i="7"/>
  <c r="O51" i="7"/>
  <c r="P49" i="7"/>
  <c r="K71" i="5"/>
  <c r="K64" i="5"/>
  <c r="K65" i="5"/>
  <c r="K66" i="5"/>
  <c r="AE71" i="5"/>
  <c r="AE64" i="5"/>
  <c r="AE65" i="5"/>
  <c r="AE66" i="5"/>
  <c r="T71" i="5"/>
  <c r="T64" i="5"/>
  <c r="T65" i="5"/>
  <c r="U63" i="5"/>
  <c r="T66" i="5"/>
  <c r="AK65" i="7"/>
  <c r="O75" i="5"/>
  <c r="O50" i="5"/>
  <c r="O53" i="5"/>
  <c r="O51" i="5"/>
  <c r="O52" i="5"/>
  <c r="P49" i="5"/>
  <c r="O54" i="5"/>
  <c r="AK65" i="5"/>
  <c r="AK64" i="5"/>
  <c r="AK66" i="7"/>
  <c r="K75" i="6"/>
  <c r="K51" i="6"/>
  <c r="K54" i="6"/>
  <c r="K52" i="6"/>
  <c r="K53" i="6"/>
  <c r="K50" i="6"/>
  <c r="O71" i="5"/>
  <c r="O66" i="5"/>
  <c r="O64" i="5"/>
  <c r="O65" i="5"/>
  <c r="P63" i="5"/>
  <c r="Z71" i="5"/>
  <c r="Z66" i="5"/>
  <c r="Z65" i="5"/>
  <c r="Z64" i="5"/>
  <c r="O71" i="7"/>
  <c r="O65" i="7"/>
  <c r="O64" i="7"/>
  <c r="O66" i="7"/>
  <c r="P63" i="7"/>
  <c r="AK53" i="5"/>
  <c r="P71" i="6"/>
  <c r="P64" i="6"/>
  <c r="P65" i="6"/>
  <c r="P66" i="6"/>
  <c r="P75" i="6"/>
  <c r="P52" i="6"/>
  <c r="P53" i="6"/>
  <c r="P51" i="6"/>
  <c r="P50" i="6"/>
  <c r="P54" i="6"/>
  <c r="U75" i="6"/>
  <c r="U53" i="6"/>
  <c r="U52" i="6"/>
  <c r="U50" i="6"/>
  <c r="U54" i="6"/>
  <c r="U51" i="6"/>
  <c r="U71" i="6"/>
  <c r="U64" i="6"/>
  <c r="U66" i="6"/>
  <c r="U65" i="6"/>
  <c r="K71" i="6"/>
  <c r="K64" i="6"/>
  <c r="K65" i="6"/>
  <c r="K66" i="6"/>
  <c r="R137" i="16"/>
  <c r="Q177" i="16"/>
  <c r="R152" i="16"/>
  <c r="Q175" i="16"/>
  <c r="R144" i="16"/>
  <c r="Q176" i="16"/>
  <c r="E165" i="16"/>
  <c r="D174" i="16"/>
  <c r="O165" i="16"/>
  <c r="N174" i="16"/>
  <c r="J165" i="16"/>
  <c r="I174" i="16"/>
  <c r="K126" i="16"/>
  <c r="V69" i="16"/>
  <c r="K92" i="16"/>
  <c r="K93" i="16"/>
  <c r="K91" i="16"/>
  <c r="P91" i="16"/>
  <c r="V77" i="16"/>
  <c r="U91" i="16"/>
  <c r="P93" i="16"/>
  <c r="U92" i="16"/>
  <c r="F93" i="16"/>
  <c r="F91" i="16"/>
  <c r="F92" i="16"/>
  <c r="W88" i="16"/>
  <c r="P92" i="16"/>
  <c r="W85" i="16"/>
  <c r="W84" i="16"/>
  <c r="Q41" i="16"/>
  <c r="G41" i="16"/>
  <c r="F43" i="16"/>
  <c r="Q43" i="16" s="1"/>
  <c r="F44" i="16"/>
  <c r="Q44" i="16" s="1"/>
  <c r="F42" i="16"/>
  <c r="Q42" i="16" s="1"/>
  <c r="F45" i="16"/>
  <c r="Q45" i="16" s="1"/>
  <c r="F46" i="16"/>
  <c r="Q46" i="16" s="1"/>
  <c r="P51" i="16"/>
  <c r="W86" i="16"/>
  <c r="Q53" i="16"/>
  <c r="G53" i="16"/>
  <c r="W87" i="16"/>
  <c r="Q77" i="16"/>
  <c r="U93" i="16"/>
  <c r="Q52" i="16"/>
  <c r="G52" i="16"/>
  <c r="T54" i="16"/>
  <c r="J54" i="16"/>
  <c r="P75" i="7" l="1"/>
  <c r="P50" i="7"/>
  <c r="P52" i="7"/>
  <c r="P53" i="7"/>
  <c r="P54" i="7"/>
  <c r="P51" i="7"/>
  <c r="U71" i="7"/>
  <c r="U66" i="7"/>
  <c r="U64" i="7"/>
  <c r="U65" i="7"/>
  <c r="U71" i="5"/>
  <c r="U64" i="5"/>
  <c r="U65" i="5"/>
  <c r="U66" i="5"/>
  <c r="U75" i="5"/>
  <c r="U50" i="5"/>
  <c r="U53" i="5"/>
  <c r="U51" i="5"/>
  <c r="U54" i="5"/>
  <c r="U52" i="5"/>
  <c r="U75" i="7"/>
  <c r="U50" i="7"/>
  <c r="U54" i="7"/>
  <c r="U52" i="7"/>
  <c r="U53" i="7"/>
  <c r="U51" i="7"/>
  <c r="P71" i="7"/>
  <c r="P66" i="7"/>
  <c r="P64" i="7"/>
  <c r="P65" i="7"/>
  <c r="P71" i="5"/>
  <c r="P65" i="5"/>
  <c r="P66" i="5"/>
  <c r="P64" i="5"/>
  <c r="K75" i="5"/>
  <c r="K52" i="5"/>
  <c r="K51" i="5"/>
  <c r="K53" i="5"/>
  <c r="K50" i="5"/>
  <c r="K54" i="5"/>
  <c r="P75" i="5"/>
  <c r="P52" i="5"/>
  <c r="P50" i="5"/>
  <c r="P51" i="5"/>
  <c r="P54" i="5"/>
  <c r="P53" i="5"/>
  <c r="F165" i="16"/>
  <c r="F174" i="16" s="1"/>
  <c r="E174" i="16"/>
  <c r="S144" i="16"/>
  <c r="R176" i="16"/>
  <c r="K165" i="16"/>
  <c r="K174" i="16" s="1"/>
  <c r="J174" i="16"/>
  <c r="S152" i="16"/>
  <c r="R175" i="16"/>
  <c r="P165" i="16"/>
  <c r="O174" i="16"/>
  <c r="S137" i="16"/>
  <c r="R177" i="16"/>
  <c r="Q51" i="16"/>
  <c r="W83" i="16"/>
  <c r="W119" i="16" s="1"/>
  <c r="AQ158" i="16" s="1"/>
  <c r="Q91" i="16"/>
  <c r="Q93" i="16"/>
  <c r="H53" i="16"/>
  <c r="R53" i="16"/>
  <c r="Q92" i="16"/>
  <c r="V91" i="16"/>
  <c r="R41" i="16"/>
  <c r="G83" i="16"/>
  <c r="G42" i="16"/>
  <c r="R42" i="16" s="1"/>
  <c r="G44" i="16"/>
  <c r="R44" i="16" s="1"/>
  <c r="G46" i="16"/>
  <c r="R46" i="16" s="1"/>
  <c r="G43" i="16"/>
  <c r="R43" i="16" s="1"/>
  <c r="G45" i="16"/>
  <c r="R45" i="16" s="1"/>
  <c r="H41" i="16"/>
  <c r="V93" i="16"/>
  <c r="V92" i="16"/>
  <c r="U54" i="16"/>
  <c r="K54" i="16"/>
  <c r="V54" i="16" s="1"/>
  <c r="R52" i="16"/>
  <c r="H52" i="16"/>
  <c r="T152" i="16" l="1"/>
  <c r="S175" i="16"/>
  <c r="T137" i="16"/>
  <c r="S177" i="16"/>
  <c r="T144" i="16"/>
  <c r="S176" i="16"/>
  <c r="AW158" i="16"/>
  <c r="BE158" i="16"/>
  <c r="AX158" i="16"/>
  <c r="BF158" i="16"/>
  <c r="AY158" i="16"/>
  <c r="BG158" i="16"/>
  <c r="AS158" i="16"/>
  <c r="BA158" i="16"/>
  <c r="BI158" i="16"/>
  <c r="AV158" i="16"/>
  <c r="BD158" i="16"/>
  <c r="BC158" i="16"/>
  <c r="BH158" i="16"/>
  <c r="BJ158" i="16"/>
  <c r="BK158" i="16"/>
  <c r="AR158" i="16"/>
  <c r="AZ158" i="16"/>
  <c r="AT158" i="16"/>
  <c r="AU158" i="16"/>
  <c r="BB158" i="16"/>
  <c r="Q165" i="16"/>
  <c r="P174" i="16"/>
  <c r="R51" i="16"/>
  <c r="S41" i="16"/>
  <c r="H46" i="16"/>
  <c r="S46" i="16" s="1"/>
  <c r="H42" i="16"/>
  <c r="S42" i="16" s="1"/>
  <c r="H45" i="16"/>
  <c r="S45" i="16" s="1"/>
  <c r="I41" i="16"/>
  <c r="H44" i="16"/>
  <c r="S44" i="16" s="1"/>
  <c r="H43" i="16"/>
  <c r="S43" i="16" s="1"/>
  <c r="G119" i="16"/>
  <c r="H83" i="16"/>
  <c r="G85" i="16"/>
  <c r="G88" i="16"/>
  <c r="G84" i="16"/>
  <c r="G87" i="16"/>
  <c r="C83" i="16"/>
  <c r="G86" i="16"/>
  <c r="I53" i="16"/>
  <c r="S53" i="16"/>
  <c r="I52" i="16"/>
  <c r="S52" i="16"/>
  <c r="U137" i="16" l="1"/>
  <c r="T177" i="16"/>
  <c r="R165" i="16"/>
  <c r="Q174" i="16"/>
  <c r="U152" i="16"/>
  <c r="T175" i="16"/>
  <c r="U144" i="16"/>
  <c r="T176" i="16"/>
  <c r="H119" i="16"/>
  <c r="G158" i="16"/>
  <c r="S51" i="16"/>
  <c r="J53" i="16"/>
  <c r="T53" i="16"/>
  <c r="R86" i="16"/>
  <c r="R84" i="16"/>
  <c r="T41" i="16"/>
  <c r="I44" i="16"/>
  <c r="T44" i="16" s="1"/>
  <c r="I46" i="16"/>
  <c r="T46" i="16" s="1"/>
  <c r="I42" i="16"/>
  <c r="T42" i="16" s="1"/>
  <c r="J41" i="16"/>
  <c r="I45" i="16"/>
  <c r="T45" i="16" s="1"/>
  <c r="I43" i="16"/>
  <c r="T43" i="16" s="1"/>
  <c r="R85" i="16"/>
  <c r="C88" i="16"/>
  <c r="C84" i="16"/>
  <c r="C85" i="16"/>
  <c r="D83" i="16"/>
  <c r="C86" i="16"/>
  <c r="C87" i="16"/>
  <c r="R87" i="16"/>
  <c r="R88" i="16"/>
  <c r="I83" i="16"/>
  <c r="H88" i="16"/>
  <c r="H85" i="16"/>
  <c r="H86" i="16"/>
  <c r="H87" i="16"/>
  <c r="H84" i="16"/>
  <c r="J52" i="16"/>
  <c r="T52" i="16"/>
  <c r="G178" i="16" l="1"/>
  <c r="M158" i="16"/>
  <c r="V137" i="16"/>
  <c r="U177" i="16"/>
  <c r="V144" i="16"/>
  <c r="U176" i="16"/>
  <c r="S165" i="16"/>
  <c r="R174" i="16"/>
  <c r="V152" i="16"/>
  <c r="U175" i="16"/>
  <c r="C158" i="16"/>
  <c r="H158" i="16"/>
  <c r="I119" i="16"/>
  <c r="T51" i="16"/>
  <c r="S84" i="16"/>
  <c r="S87" i="16"/>
  <c r="S86" i="16"/>
  <c r="S88" i="16"/>
  <c r="N86" i="16"/>
  <c r="R83" i="16"/>
  <c r="R119" i="16" s="1"/>
  <c r="AL158" i="16" s="1"/>
  <c r="N88" i="16"/>
  <c r="S85" i="16"/>
  <c r="D84" i="16"/>
  <c r="D85" i="16"/>
  <c r="E83" i="16"/>
  <c r="D86" i="16"/>
  <c r="D87" i="16"/>
  <c r="D88" i="16"/>
  <c r="N85" i="16"/>
  <c r="U41" i="16"/>
  <c r="J45" i="16"/>
  <c r="U45" i="16" s="1"/>
  <c r="J44" i="16"/>
  <c r="U44" i="16" s="1"/>
  <c r="J42" i="16"/>
  <c r="U42" i="16" s="1"/>
  <c r="K41" i="16"/>
  <c r="J46" i="16"/>
  <c r="U46" i="16" s="1"/>
  <c r="J43" i="16"/>
  <c r="U43" i="16" s="1"/>
  <c r="U53" i="16"/>
  <c r="K53" i="16"/>
  <c r="V53" i="16" s="1"/>
  <c r="N87" i="16"/>
  <c r="I86" i="16"/>
  <c r="I88" i="16"/>
  <c r="I84" i="16"/>
  <c r="I85" i="16"/>
  <c r="J83" i="16"/>
  <c r="I87" i="16"/>
  <c r="N84" i="16"/>
  <c r="K52" i="16"/>
  <c r="V52" i="16" s="1"/>
  <c r="U52" i="16"/>
  <c r="D158" i="16" l="1"/>
  <c r="C178" i="16"/>
  <c r="N158" i="16"/>
  <c r="M178" i="16"/>
  <c r="V175" i="16"/>
  <c r="W152" i="16"/>
  <c r="T165" i="16"/>
  <c r="S174" i="16"/>
  <c r="W137" i="16"/>
  <c r="V177" i="16"/>
  <c r="W144" i="16"/>
  <c r="V176" i="16"/>
  <c r="I158" i="16"/>
  <c r="H178" i="16"/>
  <c r="J119" i="16"/>
  <c r="V51" i="16"/>
  <c r="U51" i="16"/>
  <c r="T88" i="16"/>
  <c r="O88" i="16"/>
  <c r="O86" i="16"/>
  <c r="O87" i="16"/>
  <c r="E88" i="16"/>
  <c r="E85" i="16"/>
  <c r="E84" i="16"/>
  <c r="F83" i="16"/>
  <c r="E86" i="16"/>
  <c r="E87" i="16"/>
  <c r="N83" i="16"/>
  <c r="N119" i="16" s="1"/>
  <c r="AH158" i="16" s="1"/>
  <c r="O85" i="16"/>
  <c r="T84" i="16"/>
  <c r="T86" i="16"/>
  <c r="T87" i="16"/>
  <c r="J85" i="16"/>
  <c r="K83" i="16"/>
  <c r="J86" i="16"/>
  <c r="J87" i="16"/>
  <c r="J88" i="16"/>
  <c r="J84" i="16"/>
  <c r="O84" i="16"/>
  <c r="V41" i="16"/>
  <c r="K45" i="16"/>
  <c r="V45" i="16" s="1"/>
  <c r="K46" i="16"/>
  <c r="V46" i="16" s="1"/>
  <c r="K42" i="16"/>
  <c r="V42" i="16" s="1"/>
  <c r="K43" i="16"/>
  <c r="V43" i="16" s="1"/>
  <c r="K44" i="16"/>
  <c r="V44" i="16" s="1"/>
  <c r="T85" i="16"/>
  <c r="S83" i="16"/>
  <c r="S119" i="16" s="1"/>
  <c r="AM158" i="16" s="1"/>
  <c r="U165" i="16" l="1"/>
  <c r="T174" i="16"/>
  <c r="J158" i="16"/>
  <c r="I178" i="16"/>
  <c r="W176" i="16"/>
  <c r="X144" i="16"/>
  <c r="O158" i="16"/>
  <c r="N178" i="16"/>
  <c r="W175" i="16"/>
  <c r="X152" i="16"/>
  <c r="W177" i="16"/>
  <c r="X137" i="16"/>
  <c r="E158" i="16"/>
  <c r="D178" i="16"/>
  <c r="K119" i="16"/>
  <c r="O83" i="16"/>
  <c r="O119" i="16" s="1"/>
  <c r="AI158" i="16" s="1"/>
  <c r="U84" i="16"/>
  <c r="U88" i="16"/>
  <c r="P87" i="16"/>
  <c r="U86" i="16"/>
  <c r="F88" i="16"/>
  <c r="F84" i="16"/>
  <c r="F85" i="16"/>
  <c r="F86" i="16"/>
  <c r="F87" i="16"/>
  <c r="U87" i="16"/>
  <c r="T83" i="16"/>
  <c r="T119" i="16" s="1"/>
  <c r="AN158" i="16" s="1"/>
  <c r="P84" i="16"/>
  <c r="U85" i="16"/>
  <c r="P85" i="16"/>
  <c r="P86" i="16"/>
  <c r="K88" i="16"/>
  <c r="K84" i="16"/>
  <c r="K85" i="16"/>
  <c r="K87" i="16"/>
  <c r="K86" i="16"/>
  <c r="P88" i="16"/>
  <c r="P158" i="16" l="1"/>
  <c r="O178" i="16"/>
  <c r="Y152" i="16"/>
  <c r="X175" i="16"/>
  <c r="Y144" i="16"/>
  <c r="X176" i="16"/>
  <c r="F158" i="16"/>
  <c r="F178" i="16" s="1"/>
  <c r="E178" i="16"/>
  <c r="Y137" i="16"/>
  <c r="X177" i="16"/>
  <c r="V165" i="16"/>
  <c r="U174" i="16"/>
  <c r="K158" i="16"/>
  <c r="K178" i="16" s="1"/>
  <c r="J178" i="16"/>
  <c r="V85" i="16"/>
  <c r="Q87" i="16"/>
  <c r="V84" i="16"/>
  <c r="Q88" i="16"/>
  <c r="Q85" i="16"/>
  <c r="Q84" i="16"/>
  <c r="U83" i="16"/>
  <c r="U119" i="16" s="1"/>
  <c r="AO158" i="16" s="1"/>
  <c r="Q86" i="16"/>
  <c r="V88" i="16"/>
  <c r="V86" i="16"/>
  <c r="P83" i="16"/>
  <c r="P119" i="16" s="1"/>
  <c r="AJ158" i="16" s="1"/>
  <c r="V87" i="16"/>
  <c r="Z144" i="16" l="1"/>
  <c r="Y176" i="16"/>
  <c r="W165" i="16"/>
  <c r="V174" i="16"/>
  <c r="Y175" i="16"/>
  <c r="Z152" i="16"/>
  <c r="Z137" i="16"/>
  <c r="Y177" i="16"/>
  <c r="Q158" i="16"/>
  <c r="P178" i="16"/>
  <c r="V83" i="16"/>
  <c r="V119" i="16" s="1"/>
  <c r="AP158" i="16" s="1"/>
  <c r="Q83" i="16"/>
  <c r="Q119" i="16" s="1"/>
  <c r="AK158" i="16" s="1"/>
  <c r="AA144" i="16" l="1"/>
  <c r="Z176" i="16"/>
  <c r="AA137" i="16"/>
  <c r="Z177" i="16"/>
  <c r="Z175" i="16"/>
  <c r="AA152" i="16"/>
  <c r="R158" i="16"/>
  <c r="Q178" i="16"/>
  <c r="X165" i="16"/>
  <c r="W174" i="16"/>
  <c r="S158" i="16" l="1"/>
  <c r="R178" i="16"/>
  <c r="AA175" i="16"/>
  <c r="AB152" i="16"/>
  <c r="AB137" i="16"/>
  <c r="AA177" i="16"/>
  <c r="X174" i="16"/>
  <c r="Y165" i="16"/>
  <c r="AA176" i="16"/>
  <c r="AB144" i="16"/>
  <c r="Y174" i="16" l="1"/>
  <c r="Z165" i="16"/>
  <c r="AC144" i="16"/>
  <c r="AB176" i="16"/>
  <c r="T158" i="16"/>
  <c r="S178" i="16"/>
  <c r="AC137" i="16"/>
  <c r="AB177" i="16"/>
  <c r="AC152" i="16"/>
  <c r="AB175" i="16"/>
  <c r="AD144" i="16" l="1"/>
  <c r="AC176" i="16"/>
  <c r="Z174" i="16"/>
  <c r="AA165" i="16"/>
  <c r="AC175" i="16"/>
  <c r="AD152" i="16"/>
  <c r="AD137" i="16"/>
  <c r="AC177" i="16"/>
  <c r="U158" i="16"/>
  <c r="T178" i="16"/>
  <c r="AE137" i="16" l="1"/>
  <c r="AD177" i="16"/>
  <c r="AE152" i="16"/>
  <c r="AD175" i="16"/>
  <c r="AB165" i="16"/>
  <c r="AA174" i="16"/>
  <c r="V158" i="16"/>
  <c r="U178" i="16"/>
  <c r="AE144" i="16"/>
  <c r="AD176" i="16"/>
  <c r="AF144" i="16" l="1"/>
  <c r="AF176" i="16" s="1"/>
  <c r="AE176" i="16"/>
  <c r="W158" i="16"/>
  <c r="V178" i="16"/>
  <c r="AC165" i="16"/>
  <c r="AB174" i="16"/>
  <c r="AF137" i="16"/>
  <c r="AF177" i="16" s="1"/>
  <c r="AE177" i="16"/>
  <c r="AE175" i="16"/>
  <c r="AF152" i="16"/>
  <c r="AF175" i="16" s="1"/>
  <c r="AC174" i="16" l="1"/>
  <c r="AD165" i="16"/>
  <c r="X158" i="16"/>
  <c r="W178" i="16"/>
  <c r="X178" i="16" l="1"/>
  <c r="Y158" i="16"/>
  <c r="AE165" i="16"/>
  <c r="AD174" i="16"/>
  <c r="AE174" i="16" l="1"/>
  <c r="AF165" i="16"/>
  <c r="AF174" i="16" s="1"/>
  <c r="Z158" i="16"/>
  <c r="Y178" i="16"/>
  <c r="AA158" i="16" l="1"/>
  <c r="Z178" i="16"/>
  <c r="AB158" i="16" l="1"/>
  <c r="AA178" i="16"/>
  <c r="AC158" i="16" l="1"/>
  <c r="AB178" i="16"/>
  <c r="AD158" i="16" l="1"/>
  <c r="AC178" i="16"/>
  <c r="AE158" i="16" l="1"/>
  <c r="AD178" i="16"/>
  <c r="AE178" i="16" l="1"/>
  <c r="AF158" i="16"/>
  <c r="AF178" i="16" s="1"/>
  <c r="F35" i="15" l="1"/>
  <c r="B124" i="16" s="1"/>
  <c r="C43" i="15"/>
  <c r="F34" i="15"/>
  <c r="B123" i="16" s="1"/>
  <c r="C42" i="15"/>
  <c r="F33" i="15"/>
  <c r="B122" i="16" s="1"/>
  <c r="C41" i="15"/>
  <c r="F32" i="15"/>
  <c r="B121" i="16" s="1"/>
  <c r="C40" i="15"/>
  <c r="F31" i="15"/>
  <c r="B120" i="16" s="1"/>
  <c r="C39" i="15"/>
  <c r="C38" i="15"/>
  <c r="F14" i="15"/>
  <c r="B103" i="16" s="1"/>
  <c r="C36" i="15"/>
  <c r="F13" i="15"/>
  <c r="B102" i="16" s="1"/>
  <c r="C35" i="15"/>
  <c r="F12" i="15"/>
  <c r="B101" i="16" s="1"/>
  <c r="C34" i="15"/>
  <c r="F11" i="15"/>
  <c r="B100" i="16" s="1"/>
  <c r="C33" i="15"/>
  <c r="F10" i="15"/>
  <c r="B99" i="16" s="1"/>
  <c r="C32" i="15"/>
  <c r="C31" i="15"/>
  <c r="F22" i="15"/>
  <c r="B111" i="16" s="1"/>
  <c r="C29" i="15"/>
  <c r="F21" i="15"/>
  <c r="B110" i="16" s="1"/>
  <c r="C28" i="15"/>
  <c r="F20" i="15"/>
  <c r="B109" i="16" s="1"/>
  <c r="C27" i="15"/>
  <c r="F19" i="15"/>
  <c r="B108" i="16" s="1"/>
  <c r="C26" i="15"/>
  <c r="F18" i="15"/>
  <c r="B107" i="16" s="1"/>
  <c r="C25" i="15"/>
  <c r="F17" i="15"/>
  <c r="B106" i="16" s="1"/>
  <c r="C24" i="15"/>
  <c r="C23" i="15"/>
  <c r="F28" i="15"/>
  <c r="B117" i="16" s="1"/>
  <c r="C20" i="15"/>
  <c r="F27" i="15"/>
  <c r="B116" i="16" s="1"/>
  <c r="C19" i="15"/>
  <c r="F26" i="15"/>
  <c r="B115" i="16" s="1"/>
  <c r="C18" i="15"/>
  <c r="F25" i="15"/>
  <c r="B114" i="16" s="1"/>
  <c r="C17" i="15"/>
  <c r="C16" i="15"/>
  <c r="C14" i="15"/>
  <c r="C13" i="15"/>
  <c r="F40" i="15"/>
  <c r="B129" i="16" s="1"/>
  <c r="C12" i="15"/>
  <c r="F39" i="15"/>
  <c r="B128" i="16" s="1"/>
  <c r="C11" i="15"/>
  <c r="F38" i="15"/>
  <c r="B127" i="16" s="1"/>
  <c r="C10" i="15"/>
  <c r="C9" i="15"/>
  <c r="F8" i="15"/>
  <c r="C8" i="15"/>
  <c r="F16" i="15" l="1"/>
  <c r="B105" i="16" s="1"/>
  <c r="M109" i="16" s="1"/>
  <c r="F24" i="15"/>
  <c r="B113" i="16" s="1"/>
  <c r="F30" i="15"/>
  <c r="B119" i="16" s="1"/>
  <c r="F37" i="15"/>
  <c r="B126" i="16" s="1"/>
  <c r="M128" i="16" s="1"/>
  <c r="F9" i="15"/>
  <c r="B98" i="16" s="1"/>
  <c r="M100" i="16" s="1"/>
  <c r="M111" i="16" l="1"/>
  <c r="L111" i="16" s="1"/>
  <c r="W111" i="16" s="1"/>
  <c r="M103" i="16"/>
  <c r="L103" i="16" s="1"/>
  <c r="M127" i="16"/>
  <c r="L127" i="16" s="1"/>
  <c r="W127" i="16" s="1"/>
  <c r="M108" i="16"/>
  <c r="J108" i="16" s="1"/>
  <c r="U108" i="16" s="1"/>
  <c r="M102" i="16"/>
  <c r="L102" i="16" s="1"/>
  <c r="M110" i="16"/>
  <c r="G110" i="16" s="1"/>
  <c r="R110" i="16" s="1"/>
  <c r="M106" i="16"/>
  <c r="I106" i="16" s="1"/>
  <c r="T106" i="16" s="1"/>
  <c r="L100" i="16"/>
  <c r="G100" i="16"/>
  <c r="H100" i="16"/>
  <c r="I100" i="16"/>
  <c r="J100" i="16"/>
  <c r="K100" i="16"/>
  <c r="G109" i="16"/>
  <c r="R109" i="16" s="1"/>
  <c r="H109" i="16"/>
  <c r="S109" i="16" s="1"/>
  <c r="L109" i="16"/>
  <c r="W109" i="16" s="1"/>
  <c r="I109" i="16"/>
  <c r="T109" i="16" s="1"/>
  <c r="J109" i="16"/>
  <c r="U109" i="16" s="1"/>
  <c r="K109" i="16"/>
  <c r="V109" i="16" s="1"/>
  <c r="C119" i="16"/>
  <c r="AG161" i="16"/>
  <c r="AG160" i="16"/>
  <c r="AG159" i="16"/>
  <c r="AG162" i="16"/>
  <c r="AG163" i="16"/>
  <c r="M122" i="16"/>
  <c r="M124" i="16"/>
  <c r="M123" i="16"/>
  <c r="M120" i="16"/>
  <c r="C113" i="16"/>
  <c r="AG156" i="16"/>
  <c r="AG155" i="16"/>
  <c r="AG153" i="16"/>
  <c r="AG154" i="16"/>
  <c r="K103" i="16"/>
  <c r="M116" i="16"/>
  <c r="L128" i="16"/>
  <c r="W128" i="16" s="1"/>
  <c r="G128" i="16"/>
  <c r="R128" i="16" s="1"/>
  <c r="H128" i="16"/>
  <c r="S128" i="16" s="1"/>
  <c r="I128" i="16"/>
  <c r="T128" i="16" s="1"/>
  <c r="J128" i="16"/>
  <c r="U128" i="16" s="1"/>
  <c r="K128" i="16"/>
  <c r="V128" i="16" s="1"/>
  <c r="M99" i="16"/>
  <c r="M101" i="16"/>
  <c r="C98" i="16"/>
  <c r="AG142" i="16"/>
  <c r="AG138" i="16"/>
  <c r="AG140" i="16"/>
  <c r="AG139" i="16"/>
  <c r="AG141" i="16"/>
  <c r="C105" i="16"/>
  <c r="AG150" i="16"/>
  <c r="AG148" i="16"/>
  <c r="AG146" i="16"/>
  <c r="AG147" i="16"/>
  <c r="AG145" i="16"/>
  <c r="AG149" i="16"/>
  <c r="M117" i="16"/>
  <c r="M121" i="16"/>
  <c r="M114" i="16"/>
  <c r="C126" i="16"/>
  <c r="AG166" i="16"/>
  <c r="AG167" i="16"/>
  <c r="AG168" i="16"/>
  <c r="M107" i="16"/>
  <c r="M115" i="16"/>
  <c r="M129" i="16"/>
  <c r="R37" i="7"/>
  <c r="AW37" i="7" s="1"/>
  <c r="S37" i="7"/>
  <c r="AX37" i="7" s="1"/>
  <c r="T37" i="7"/>
  <c r="AY37" i="7" s="1"/>
  <c r="U37" i="7"/>
  <c r="AZ37" i="7" s="1"/>
  <c r="V37" i="7"/>
  <c r="BA37" i="7" s="1"/>
  <c r="W37" i="7"/>
  <c r="BB37" i="7" s="1"/>
  <c r="X37" i="7"/>
  <c r="BC37" i="7" s="1"/>
  <c r="Y37" i="7"/>
  <c r="BD37" i="7" s="1"/>
  <c r="Z37" i="7"/>
  <c r="BE37" i="7" s="1"/>
  <c r="AA37" i="7"/>
  <c r="BF37" i="7" s="1"/>
  <c r="Q37" i="7"/>
  <c r="AV37" i="7" s="1"/>
  <c r="AX27" i="7"/>
  <c r="CF27" i="7" s="1"/>
  <c r="AY27" i="7"/>
  <c r="CG27" i="7" s="1"/>
  <c r="AZ27" i="7"/>
  <c r="CH27" i="7" s="1"/>
  <c r="BA27" i="7"/>
  <c r="CI27" i="7" s="1"/>
  <c r="BB27" i="7"/>
  <c r="CJ27" i="7" s="1"/>
  <c r="BC27" i="7"/>
  <c r="CK27" i="7" s="1"/>
  <c r="BD27" i="7"/>
  <c r="CL27" i="7" s="1"/>
  <c r="BE27" i="7"/>
  <c r="CM27" i="7" s="1"/>
  <c r="BF27" i="7"/>
  <c r="CN27" i="7" s="1"/>
  <c r="AW27" i="7"/>
  <c r="CE27" i="7" s="1"/>
  <c r="R26" i="6"/>
  <c r="S26" i="6"/>
  <c r="T26" i="6"/>
  <c r="U26" i="6"/>
  <c r="V26" i="6"/>
  <c r="W26" i="6"/>
  <c r="X26" i="6"/>
  <c r="Y26" i="6"/>
  <c r="Z26" i="6"/>
  <c r="AA26" i="6"/>
  <c r="R36" i="6"/>
  <c r="S36" i="6"/>
  <c r="T36" i="6"/>
  <c r="U36" i="6"/>
  <c r="V36" i="6"/>
  <c r="W36" i="6"/>
  <c r="X36" i="6"/>
  <c r="Y36" i="6"/>
  <c r="Z36" i="6"/>
  <c r="AA36" i="6"/>
  <c r="Q36" i="6"/>
  <c r="J103" i="16" l="1"/>
  <c r="I103" i="16"/>
  <c r="H103" i="16"/>
  <c r="G103" i="16"/>
  <c r="I108" i="16"/>
  <c r="T108" i="16" s="1"/>
  <c r="H108" i="16"/>
  <c r="S108" i="16" s="1"/>
  <c r="I111" i="16"/>
  <c r="T111" i="16" s="1"/>
  <c r="K102" i="16"/>
  <c r="I102" i="16"/>
  <c r="H102" i="16"/>
  <c r="G108" i="16"/>
  <c r="R108" i="16" s="1"/>
  <c r="K111" i="16"/>
  <c r="V111" i="16" s="1"/>
  <c r="J111" i="16"/>
  <c r="U111" i="16" s="1"/>
  <c r="J102" i="16"/>
  <c r="G111" i="16"/>
  <c r="R111" i="16" s="1"/>
  <c r="G102" i="16"/>
  <c r="H111" i="16"/>
  <c r="S111" i="16" s="1"/>
  <c r="L108" i="16"/>
  <c r="W108" i="16" s="1"/>
  <c r="K108" i="16"/>
  <c r="V108" i="16" s="1"/>
  <c r="L106" i="16"/>
  <c r="W106" i="16" s="1"/>
  <c r="M105" i="16"/>
  <c r="H106" i="16"/>
  <c r="S106" i="16" s="1"/>
  <c r="G106" i="16"/>
  <c r="R106" i="16" s="1"/>
  <c r="H110" i="16"/>
  <c r="S110" i="16" s="1"/>
  <c r="K106" i="16"/>
  <c r="V106" i="16" s="1"/>
  <c r="L110" i="16"/>
  <c r="W110" i="16" s="1"/>
  <c r="J106" i="16"/>
  <c r="U106" i="16" s="1"/>
  <c r="J110" i="16"/>
  <c r="U110" i="16" s="1"/>
  <c r="K127" i="16"/>
  <c r="V127" i="16" s="1"/>
  <c r="J127" i="16"/>
  <c r="U127" i="16" s="1"/>
  <c r="K110" i="16"/>
  <c r="V110" i="16" s="1"/>
  <c r="I127" i="16"/>
  <c r="T127" i="16" s="1"/>
  <c r="H127" i="16"/>
  <c r="S127" i="16" s="1"/>
  <c r="I110" i="16"/>
  <c r="T110" i="16" s="1"/>
  <c r="G127" i="16"/>
  <c r="R127" i="16" s="1"/>
  <c r="M113" i="16"/>
  <c r="H114" i="16"/>
  <c r="S114" i="16" s="1"/>
  <c r="G114" i="16"/>
  <c r="R114" i="16" s="1"/>
  <c r="L114" i="16"/>
  <c r="W114" i="16" s="1"/>
  <c r="I114" i="16"/>
  <c r="T114" i="16" s="1"/>
  <c r="J114" i="16"/>
  <c r="U114" i="16" s="1"/>
  <c r="K114" i="16"/>
  <c r="V114" i="16" s="1"/>
  <c r="L141" i="16"/>
  <c r="G141" i="16"/>
  <c r="AL141" i="16" s="1"/>
  <c r="H141" i="16"/>
  <c r="AM141" i="16" s="1"/>
  <c r="I141" i="16"/>
  <c r="AN141" i="16" s="1"/>
  <c r="J141" i="16"/>
  <c r="AO141" i="16" s="1"/>
  <c r="K141" i="16"/>
  <c r="AP141" i="16" s="1"/>
  <c r="L129" i="16"/>
  <c r="W129" i="16" s="1"/>
  <c r="G129" i="16"/>
  <c r="R129" i="16" s="1"/>
  <c r="H129" i="16"/>
  <c r="S129" i="16" s="1"/>
  <c r="I129" i="16"/>
  <c r="T129" i="16" s="1"/>
  <c r="J129" i="16"/>
  <c r="U129" i="16" s="1"/>
  <c r="K129" i="16"/>
  <c r="V129" i="16" s="1"/>
  <c r="G149" i="16"/>
  <c r="AL149" i="16" s="1"/>
  <c r="L149" i="16"/>
  <c r="H149" i="16"/>
  <c r="AM149" i="16" s="1"/>
  <c r="I149" i="16"/>
  <c r="AN149" i="16" s="1"/>
  <c r="J149" i="16"/>
  <c r="AO149" i="16" s="1"/>
  <c r="K149" i="16"/>
  <c r="AP149" i="16" s="1"/>
  <c r="L139" i="16"/>
  <c r="G139" i="16"/>
  <c r="AL139" i="16" s="1"/>
  <c r="H139" i="16"/>
  <c r="AM139" i="16" s="1"/>
  <c r="I139" i="16"/>
  <c r="AN139" i="16" s="1"/>
  <c r="J139" i="16"/>
  <c r="AO139" i="16" s="1"/>
  <c r="K139" i="16"/>
  <c r="AP139" i="16" s="1"/>
  <c r="L162" i="16"/>
  <c r="G162" i="16"/>
  <c r="AL162" i="16" s="1"/>
  <c r="H162" i="16"/>
  <c r="AM162" i="16" s="1"/>
  <c r="I162" i="16"/>
  <c r="AN162" i="16" s="1"/>
  <c r="J162" i="16"/>
  <c r="AO162" i="16" s="1"/>
  <c r="K162" i="16"/>
  <c r="AP162" i="16" s="1"/>
  <c r="K166" i="16"/>
  <c r="AP166" i="16" s="1"/>
  <c r="L166" i="16"/>
  <c r="G166" i="16"/>
  <c r="AL166" i="16" s="1"/>
  <c r="H166" i="16"/>
  <c r="AM166" i="16" s="1"/>
  <c r="I166" i="16"/>
  <c r="AN166" i="16" s="1"/>
  <c r="J166" i="16"/>
  <c r="AO166" i="16" s="1"/>
  <c r="K156" i="16"/>
  <c r="AP156" i="16" s="1"/>
  <c r="L156" i="16"/>
  <c r="G156" i="16"/>
  <c r="AL156" i="16" s="1"/>
  <c r="I156" i="16"/>
  <c r="AN156" i="16" s="1"/>
  <c r="H156" i="16"/>
  <c r="AM156" i="16" s="1"/>
  <c r="J156" i="16"/>
  <c r="AO156" i="16" s="1"/>
  <c r="J117" i="16"/>
  <c r="U117" i="16" s="1"/>
  <c r="G117" i="16"/>
  <c r="R117" i="16" s="1"/>
  <c r="H117" i="16"/>
  <c r="S117" i="16" s="1"/>
  <c r="L117" i="16"/>
  <c r="W117" i="16" s="1"/>
  <c r="I117" i="16"/>
  <c r="T117" i="16" s="1"/>
  <c r="K117" i="16"/>
  <c r="V117" i="16" s="1"/>
  <c r="G163" i="16"/>
  <c r="AL163" i="16" s="1"/>
  <c r="L163" i="16"/>
  <c r="H163" i="16"/>
  <c r="AM163" i="16" s="1"/>
  <c r="I163" i="16"/>
  <c r="AN163" i="16" s="1"/>
  <c r="J163" i="16"/>
  <c r="AO163" i="16" s="1"/>
  <c r="K163" i="16"/>
  <c r="AP163" i="16" s="1"/>
  <c r="G115" i="16"/>
  <c r="R115" i="16" s="1"/>
  <c r="L115" i="16"/>
  <c r="W115" i="16" s="1"/>
  <c r="H115" i="16"/>
  <c r="S115" i="16" s="1"/>
  <c r="I115" i="16"/>
  <c r="T115" i="16" s="1"/>
  <c r="J115" i="16"/>
  <c r="U115" i="16" s="1"/>
  <c r="K115" i="16"/>
  <c r="V115" i="16" s="1"/>
  <c r="G145" i="16"/>
  <c r="AL145" i="16" s="1"/>
  <c r="AG144" i="16"/>
  <c r="H145" i="16"/>
  <c r="AM145" i="16" s="1"/>
  <c r="L145" i="16"/>
  <c r="I145" i="16"/>
  <c r="AN145" i="16" s="1"/>
  <c r="J145" i="16"/>
  <c r="AO145" i="16" s="1"/>
  <c r="K145" i="16"/>
  <c r="AP145" i="16" s="1"/>
  <c r="G140" i="16"/>
  <c r="AL140" i="16" s="1"/>
  <c r="L140" i="16"/>
  <c r="H140" i="16"/>
  <c r="AM140" i="16" s="1"/>
  <c r="I140" i="16"/>
  <c r="AN140" i="16" s="1"/>
  <c r="J140" i="16"/>
  <c r="AO140" i="16" s="1"/>
  <c r="K140" i="16"/>
  <c r="AP140" i="16" s="1"/>
  <c r="AG158" i="16"/>
  <c r="L159" i="16"/>
  <c r="G159" i="16"/>
  <c r="AL159" i="16" s="1"/>
  <c r="H159" i="16"/>
  <c r="AM159" i="16" s="1"/>
  <c r="I159" i="16"/>
  <c r="AN159" i="16" s="1"/>
  <c r="J159" i="16"/>
  <c r="AO159" i="16" s="1"/>
  <c r="K159" i="16"/>
  <c r="AP159" i="16" s="1"/>
  <c r="G150" i="16"/>
  <c r="AL150" i="16" s="1"/>
  <c r="L150" i="16"/>
  <c r="H150" i="16"/>
  <c r="AM150" i="16" s="1"/>
  <c r="I150" i="16"/>
  <c r="AN150" i="16" s="1"/>
  <c r="J150" i="16"/>
  <c r="AO150" i="16" s="1"/>
  <c r="K150" i="16"/>
  <c r="AP150" i="16" s="1"/>
  <c r="AG137" i="16"/>
  <c r="L138" i="16"/>
  <c r="G138" i="16"/>
  <c r="AL138" i="16" s="1"/>
  <c r="H138" i="16"/>
  <c r="AM138" i="16" s="1"/>
  <c r="I138" i="16"/>
  <c r="AN138" i="16" s="1"/>
  <c r="J138" i="16"/>
  <c r="AO138" i="16" s="1"/>
  <c r="K138" i="16"/>
  <c r="AP138" i="16" s="1"/>
  <c r="L160" i="16"/>
  <c r="G160" i="16"/>
  <c r="AL160" i="16" s="1"/>
  <c r="H160" i="16"/>
  <c r="AM160" i="16" s="1"/>
  <c r="I160" i="16"/>
  <c r="AN160" i="16" s="1"/>
  <c r="J160" i="16"/>
  <c r="AO160" i="16" s="1"/>
  <c r="K160" i="16"/>
  <c r="AP160" i="16" s="1"/>
  <c r="G168" i="16"/>
  <c r="AL168" i="16" s="1"/>
  <c r="L168" i="16"/>
  <c r="H168" i="16"/>
  <c r="AM168" i="16" s="1"/>
  <c r="I168" i="16"/>
  <c r="AN168" i="16" s="1"/>
  <c r="J168" i="16"/>
  <c r="AO168" i="16" s="1"/>
  <c r="K168" i="16"/>
  <c r="AP168" i="16" s="1"/>
  <c r="H146" i="16"/>
  <c r="AM146" i="16" s="1"/>
  <c r="L146" i="16"/>
  <c r="G146" i="16"/>
  <c r="AL146" i="16" s="1"/>
  <c r="I146" i="16"/>
  <c r="AN146" i="16" s="1"/>
  <c r="J146" i="16"/>
  <c r="AO146" i="16" s="1"/>
  <c r="K146" i="16"/>
  <c r="AP146" i="16" s="1"/>
  <c r="K142" i="16"/>
  <c r="AP142" i="16" s="1"/>
  <c r="H142" i="16"/>
  <c r="AM142" i="16" s="1"/>
  <c r="G142" i="16"/>
  <c r="AL142" i="16" s="1"/>
  <c r="L142" i="16"/>
  <c r="I142" i="16"/>
  <c r="AN142" i="16" s="1"/>
  <c r="J142" i="16"/>
  <c r="AO142" i="16" s="1"/>
  <c r="K116" i="16"/>
  <c r="V116" i="16" s="1"/>
  <c r="L116" i="16"/>
  <c r="W116" i="16" s="1"/>
  <c r="I116" i="16"/>
  <c r="T116" i="16" s="1"/>
  <c r="G116" i="16"/>
  <c r="R116" i="16" s="1"/>
  <c r="H116" i="16"/>
  <c r="S116" i="16" s="1"/>
  <c r="J116" i="16"/>
  <c r="U116" i="16" s="1"/>
  <c r="L153" i="16"/>
  <c r="G153" i="16"/>
  <c r="AL153" i="16" s="1"/>
  <c r="I153" i="16"/>
  <c r="AN153" i="16" s="1"/>
  <c r="AG152" i="16"/>
  <c r="H153" i="16"/>
  <c r="AM153" i="16" s="1"/>
  <c r="J153" i="16"/>
  <c r="AO153" i="16" s="1"/>
  <c r="K153" i="16"/>
  <c r="AP153" i="16" s="1"/>
  <c r="K161" i="16"/>
  <c r="AP161" i="16" s="1"/>
  <c r="L161" i="16"/>
  <c r="G161" i="16"/>
  <c r="AL161" i="16" s="1"/>
  <c r="H161" i="16"/>
  <c r="AM161" i="16" s="1"/>
  <c r="I161" i="16"/>
  <c r="AN161" i="16" s="1"/>
  <c r="J161" i="16"/>
  <c r="AO161" i="16" s="1"/>
  <c r="I107" i="16"/>
  <c r="T107" i="16" s="1"/>
  <c r="G107" i="16"/>
  <c r="R107" i="16" s="1"/>
  <c r="L107" i="16"/>
  <c r="W107" i="16" s="1"/>
  <c r="H107" i="16"/>
  <c r="S107" i="16" s="1"/>
  <c r="J107" i="16"/>
  <c r="U107" i="16" s="1"/>
  <c r="K107" i="16"/>
  <c r="V107" i="16" s="1"/>
  <c r="K147" i="16"/>
  <c r="AP147" i="16" s="1"/>
  <c r="H147" i="16"/>
  <c r="AM147" i="16" s="1"/>
  <c r="G147" i="16"/>
  <c r="AL147" i="16" s="1"/>
  <c r="L147" i="16"/>
  <c r="I147" i="16"/>
  <c r="AN147" i="16" s="1"/>
  <c r="J147" i="16"/>
  <c r="AO147" i="16" s="1"/>
  <c r="H154" i="16"/>
  <c r="AM154" i="16" s="1"/>
  <c r="G154" i="16"/>
  <c r="AL154" i="16" s="1"/>
  <c r="I154" i="16"/>
  <c r="AN154" i="16" s="1"/>
  <c r="L154" i="16"/>
  <c r="J154" i="16"/>
  <c r="AO154" i="16" s="1"/>
  <c r="K154" i="16"/>
  <c r="AP154" i="16" s="1"/>
  <c r="L167" i="16"/>
  <c r="G167" i="16"/>
  <c r="AL167" i="16" s="1"/>
  <c r="H167" i="16"/>
  <c r="AM167" i="16" s="1"/>
  <c r="I167" i="16"/>
  <c r="AN167" i="16" s="1"/>
  <c r="J167" i="16"/>
  <c r="AO167" i="16" s="1"/>
  <c r="K167" i="16"/>
  <c r="AP167" i="16" s="1"/>
  <c r="H148" i="16"/>
  <c r="AM148" i="16" s="1"/>
  <c r="G148" i="16"/>
  <c r="AL148" i="16" s="1"/>
  <c r="L148" i="16"/>
  <c r="I148" i="16"/>
  <c r="AN148" i="16" s="1"/>
  <c r="J148" i="16"/>
  <c r="AO148" i="16" s="1"/>
  <c r="K148" i="16"/>
  <c r="AP148" i="16" s="1"/>
  <c r="D98" i="16"/>
  <c r="C101" i="16"/>
  <c r="N101" i="16" s="1"/>
  <c r="C102" i="16"/>
  <c r="N102" i="16" s="1"/>
  <c r="C103" i="16"/>
  <c r="N103" i="16" s="1"/>
  <c r="C100" i="16"/>
  <c r="N100" i="16" s="1"/>
  <c r="C99" i="16"/>
  <c r="N99" i="16" s="1"/>
  <c r="C140" i="16"/>
  <c r="AH140" i="16" s="1"/>
  <c r="C141" i="16"/>
  <c r="AH141" i="16" s="1"/>
  <c r="C142" i="16"/>
  <c r="AH142" i="16" s="1"/>
  <c r="C138" i="16"/>
  <c r="AH138" i="16" s="1"/>
  <c r="C139" i="16"/>
  <c r="AH139" i="16" s="1"/>
  <c r="L155" i="16"/>
  <c r="I155" i="16"/>
  <c r="AN155" i="16" s="1"/>
  <c r="H155" i="16"/>
  <c r="AM155" i="16" s="1"/>
  <c r="G155" i="16"/>
  <c r="AL155" i="16" s="1"/>
  <c r="J155" i="16"/>
  <c r="AO155" i="16" s="1"/>
  <c r="K155" i="16"/>
  <c r="AP155" i="16" s="1"/>
  <c r="K123" i="16"/>
  <c r="V123" i="16" s="1"/>
  <c r="L123" i="16"/>
  <c r="W123" i="16" s="1"/>
  <c r="G123" i="16"/>
  <c r="R123" i="16" s="1"/>
  <c r="H123" i="16"/>
  <c r="S123" i="16" s="1"/>
  <c r="I123" i="16"/>
  <c r="T123" i="16" s="1"/>
  <c r="J123" i="16"/>
  <c r="U123" i="16" s="1"/>
  <c r="D119" i="16"/>
  <c r="D122" i="16" s="1"/>
  <c r="O122" i="16" s="1"/>
  <c r="C124" i="16"/>
  <c r="N124" i="16" s="1"/>
  <c r="C120" i="16"/>
  <c r="N120" i="16" s="1"/>
  <c r="C122" i="16"/>
  <c r="N122" i="16" s="1"/>
  <c r="C160" i="16"/>
  <c r="AH160" i="16" s="1"/>
  <c r="C121" i="16"/>
  <c r="N121" i="16" s="1"/>
  <c r="C162" i="16"/>
  <c r="AH162" i="16" s="1"/>
  <c r="C159" i="16"/>
  <c r="AH159" i="16" s="1"/>
  <c r="C123" i="16"/>
  <c r="N123" i="16" s="1"/>
  <c r="C163" i="16"/>
  <c r="AH163" i="16" s="1"/>
  <c r="C161" i="16"/>
  <c r="AH161" i="16" s="1"/>
  <c r="G101" i="16"/>
  <c r="L101" i="16"/>
  <c r="H101" i="16"/>
  <c r="I101" i="16"/>
  <c r="J101" i="16"/>
  <c r="K101" i="16"/>
  <c r="M119" i="16"/>
  <c r="L120" i="16"/>
  <c r="W120" i="16" s="1"/>
  <c r="G120" i="16"/>
  <c r="R120" i="16" s="1"/>
  <c r="H120" i="16"/>
  <c r="S120" i="16" s="1"/>
  <c r="I120" i="16"/>
  <c r="T120" i="16" s="1"/>
  <c r="J120" i="16"/>
  <c r="U120" i="16" s="1"/>
  <c r="K120" i="16"/>
  <c r="V120" i="16" s="1"/>
  <c r="L124" i="16"/>
  <c r="W124" i="16" s="1"/>
  <c r="G124" i="16"/>
  <c r="R124" i="16" s="1"/>
  <c r="H124" i="16"/>
  <c r="S124" i="16" s="1"/>
  <c r="I124" i="16"/>
  <c r="T124" i="16" s="1"/>
  <c r="J124" i="16"/>
  <c r="U124" i="16" s="1"/>
  <c r="K124" i="16"/>
  <c r="V124" i="16" s="1"/>
  <c r="D126" i="16"/>
  <c r="C128" i="16"/>
  <c r="N128" i="16" s="1"/>
  <c r="C129" i="16"/>
  <c r="N129" i="16" s="1"/>
  <c r="C127" i="16"/>
  <c r="N127" i="16" s="1"/>
  <c r="C168" i="16"/>
  <c r="AH168" i="16" s="1"/>
  <c r="C167" i="16"/>
  <c r="AH167" i="16" s="1"/>
  <c r="C166" i="16"/>
  <c r="AH166" i="16" s="1"/>
  <c r="H121" i="16"/>
  <c r="S121" i="16" s="1"/>
  <c r="L121" i="16"/>
  <c r="W121" i="16" s="1"/>
  <c r="G121" i="16"/>
  <c r="R121" i="16" s="1"/>
  <c r="I121" i="16"/>
  <c r="T121" i="16" s="1"/>
  <c r="J121" i="16"/>
  <c r="U121" i="16" s="1"/>
  <c r="K121" i="16"/>
  <c r="V121" i="16" s="1"/>
  <c r="D105" i="16"/>
  <c r="C108" i="16"/>
  <c r="N108" i="16" s="1"/>
  <c r="C110" i="16"/>
  <c r="N110" i="16" s="1"/>
  <c r="C111" i="16"/>
  <c r="N111" i="16" s="1"/>
  <c r="C106" i="16"/>
  <c r="N106" i="16" s="1"/>
  <c r="C145" i="16"/>
  <c r="AH145" i="16" s="1"/>
  <c r="C147" i="16"/>
  <c r="AH147" i="16" s="1"/>
  <c r="C148" i="16"/>
  <c r="AH148" i="16" s="1"/>
  <c r="C150" i="16"/>
  <c r="AH150" i="16" s="1"/>
  <c r="C149" i="16"/>
  <c r="AH149" i="16" s="1"/>
  <c r="C146" i="16"/>
  <c r="AH146" i="16" s="1"/>
  <c r="C109" i="16"/>
  <c r="N109" i="16" s="1"/>
  <c r="C107" i="16"/>
  <c r="N107" i="16" s="1"/>
  <c r="M98" i="16"/>
  <c r="L99" i="16"/>
  <c r="G99" i="16"/>
  <c r="H99" i="16"/>
  <c r="I99" i="16"/>
  <c r="J99" i="16"/>
  <c r="K99" i="16"/>
  <c r="D113" i="16"/>
  <c r="C114" i="16"/>
  <c r="N114" i="16" s="1"/>
  <c r="C154" i="16"/>
  <c r="AH154" i="16" s="1"/>
  <c r="C116" i="16"/>
  <c r="N116" i="16" s="1"/>
  <c r="C153" i="16"/>
  <c r="AH153" i="16" s="1"/>
  <c r="C155" i="16"/>
  <c r="AH155" i="16" s="1"/>
  <c r="C156" i="16"/>
  <c r="AH156" i="16" s="1"/>
  <c r="C117" i="16"/>
  <c r="N117" i="16" s="1"/>
  <c r="C115" i="16"/>
  <c r="N115" i="16" s="1"/>
  <c r="L122" i="16"/>
  <c r="W122" i="16" s="1"/>
  <c r="G122" i="16"/>
  <c r="R122" i="16" s="1"/>
  <c r="H122" i="16"/>
  <c r="S122" i="16" s="1"/>
  <c r="I122" i="16"/>
  <c r="T122" i="16" s="1"/>
  <c r="J122" i="16"/>
  <c r="U122" i="16" s="1"/>
  <c r="K122" i="16"/>
  <c r="V122" i="16" s="1"/>
  <c r="R105" i="16" l="1"/>
  <c r="U105" i="16"/>
  <c r="AQ162" i="16"/>
  <c r="M162" i="16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X162" i="16" s="1"/>
  <c r="Y162" i="16" s="1"/>
  <c r="Z162" i="16" s="1"/>
  <c r="AA162" i="16" s="1"/>
  <c r="AB162" i="16" s="1"/>
  <c r="AC162" i="16" s="1"/>
  <c r="AD162" i="16" s="1"/>
  <c r="AE162" i="16" s="1"/>
  <c r="AF162" i="16" s="1"/>
  <c r="AQ141" i="16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X141" i="16" s="1"/>
  <c r="Y141" i="16" s="1"/>
  <c r="Z141" i="16" s="1"/>
  <c r="AA141" i="16" s="1"/>
  <c r="AB141" i="16" s="1"/>
  <c r="AC141" i="16" s="1"/>
  <c r="AD141" i="16" s="1"/>
  <c r="AE141" i="16" s="1"/>
  <c r="AF141" i="16" s="1"/>
  <c r="AQ160" i="16"/>
  <c r="M160" i="16"/>
  <c r="N160" i="16" s="1"/>
  <c r="O160" i="16" s="1"/>
  <c r="P160" i="16" s="1"/>
  <c r="Q160" i="16" s="1"/>
  <c r="R160" i="16" s="1"/>
  <c r="S160" i="16" s="1"/>
  <c r="T160" i="16" s="1"/>
  <c r="U160" i="16" s="1"/>
  <c r="V160" i="16" s="1"/>
  <c r="W160" i="16" s="1"/>
  <c r="X160" i="16" s="1"/>
  <c r="Y160" i="16" s="1"/>
  <c r="Z160" i="16" s="1"/>
  <c r="AA160" i="16" s="1"/>
  <c r="AB160" i="16" s="1"/>
  <c r="AC160" i="16" s="1"/>
  <c r="AD160" i="16" s="1"/>
  <c r="AE160" i="16" s="1"/>
  <c r="AF160" i="16" s="1"/>
  <c r="AQ156" i="16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X156" i="16" s="1"/>
  <c r="Y156" i="16" s="1"/>
  <c r="Z156" i="16" s="1"/>
  <c r="AA156" i="16" s="1"/>
  <c r="AB156" i="16" s="1"/>
  <c r="AC156" i="16" s="1"/>
  <c r="AD156" i="16" s="1"/>
  <c r="AE156" i="16" s="1"/>
  <c r="AF156" i="16" s="1"/>
  <c r="AQ154" i="16"/>
  <c r="M154" i="16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X154" i="16" s="1"/>
  <c r="Y154" i="16" s="1"/>
  <c r="Z154" i="16" s="1"/>
  <c r="AA154" i="16" s="1"/>
  <c r="AB154" i="16" s="1"/>
  <c r="AC154" i="16" s="1"/>
  <c r="AD154" i="16" s="1"/>
  <c r="AE154" i="16" s="1"/>
  <c r="AF154" i="16" s="1"/>
  <c r="AQ138" i="16"/>
  <c r="M138" i="16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X138" i="16" s="1"/>
  <c r="Y138" i="16" s="1"/>
  <c r="Z138" i="16" s="1"/>
  <c r="AA138" i="16" s="1"/>
  <c r="AB138" i="16" s="1"/>
  <c r="AC138" i="16" s="1"/>
  <c r="AD138" i="16" s="1"/>
  <c r="AE138" i="16" s="1"/>
  <c r="AF138" i="16" s="1"/>
  <c r="AQ145" i="16"/>
  <c r="M145" i="16"/>
  <c r="N145" i="16" s="1"/>
  <c r="O145" i="16" s="1"/>
  <c r="P145" i="16" s="1"/>
  <c r="Q145" i="16" s="1"/>
  <c r="R145" i="16" s="1"/>
  <c r="S145" i="16" s="1"/>
  <c r="T145" i="16" s="1"/>
  <c r="U145" i="16" s="1"/>
  <c r="V145" i="16" s="1"/>
  <c r="W145" i="16" s="1"/>
  <c r="X145" i="16" s="1"/>
  <c r="Y145" i="16" s="1"/>
  <c r="Z145" i="16" s="1"/>
  <c r="AA145" i="16" s="1"/>
  <c r="AB145" i="16" s="1"/>
  <c r="AC145" i="16" s="1"/>
  <c r="AD145" i="16" s="1"/>
  <c r="AE145" i="16" s="1"/>
  <c r="AF145" i="16" s="1"/>
  <c r="AQ166" i="16"/>
  <c r="M166" i="16"/>
  <c r="N166" i="16" s="1"/>
  <c r="O166" i="16" s="1"/>
  <c r="P166" i="16" s="1"/>
  <c r="Q166" i="16" s="1"/>
  <c r="R166" i="16" s="1"/>
  <c r="S166" i="16" s="1"/>
  <c r="T166" i="16" s="1"/>
  <c r="U166" i="16" s="1"/>
  <c r="V166" i="16" s="1"/>
  <c r="W166" i="16" s="1"/>
  <c r="X166" i="16" s="1"/>
  <c r="Y166" i="16" s="1"/>
  <c r="Z166" i="16" s="1"/>
  <c r="AA166" i="16" s="1"/>
  <c r="AB166" i="16" s="1"/>
  <c r="AC166" i="16" s="1"/>
  <c r="AD166" i="16" s="1"/>
  <c r="AE166" i="16" s="1"/>
  <c r="AF166" i="16" s="1"/>
  <c r="AQ149" i="16"/>
  <c r="M149" i="16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X149" i="16" s="1"/>
  <c r="Y149" i="16" s="1"/>
  <c r="Z149" i="16" s="1"/>
  <c r="AA149" i="16" s="1"/>
  <c r="AB149" i="16" s="1"/>
  <c r="AC149" i="16" s="1"/>
  <c r="AD149" i="16" s="1"/>
  <c r="AE149" i="16" s="1"/>
  <c r="AF149" i="16" s="1"/>
  <c r="AQ168" i="16"/>
  <c r="M168" i="16"/>
  <c r="N168" i="16" s="1"/>
  <c r="O168" i="16" s="1"/>
  <c r="P168" i="16" s="1"/>
  <c r="Q168" i="16" s="1"/>
  <c r="R168" i="16" s="1"/>
  <c r="S168" i="16" s="1"/>
  <c r="T168" i="16" s="1"/>
  <c r="U168" i="16" s="1"/>
  <c r="V168" i="16" s="1"/>
  <c r="W168" i="16" s="1"/>
  <c r="X168" i="16" s="1"/>
  <c r="Y168" i="16" s="1"/>
  <c r="Z168" i="16" s="1"/>
  <c r="AA168" i="16" s="1"/>
  <c r="AB168" i="16" s="1"/>
  <c r="AC168" i="16" s="1"/>
  <c r="AD168" i="16" s="1"/>
  <c r="AE168" i="16" s="1"/>
  <c r="AF168" i="16" s="1"/>
  <c r="AQ140" i="16"/>
  <c r="M140" i="16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X140" i="16" s="1"/>
  <c r="Y140" i="16" s="1"/>
  <c r="Z140" i="16" s="1"/>
  <c r="AA140" i="16" s="1"/>
  <c r="AB140" i="16" s="1"/>
  <c r="AC140" i="16" s="1"/>
  <c r="AD140" i="16" s="1"/>
  <c r="AE140" i="16" s="1"/>
  <c r="AF140" i="16" s="1"/>
  <c r="S105" i="16"/>
  <c r="AQ161" i="16"/>
  <c r="M161" i="16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X161" i="16" s="1"/>
  <c r="Y161" i="16" s="1"/>
  <c r="Z161" i="16" s="1"/>
  <c r="AA161" i="16" s="1"/>
  <c r="AB161" i="16" s="1"/>
  <c r="AC161" i="16" s="1"/>
  <c r="AD161" i="16" s="1"/>
  <c r="AE161" i="16" s="1"/>
  <c r="AF161" i="16" s="1"/>
  <c r="AQ153" i="16"/>
  <c r="M153" i="16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X153" i="16" s="1"/>
  <c r="Y153" i="16" s="1"/>
  <c r="Z153" i="16" s="1"/>
  <c r="AA153" i="16" s="1"/>
  <c r="AB153" i="16" s="1"/>
  <c r="AC153" i="16" s="1"/>
  <c r="AD153" i="16" s="1"/>
  <c r="AE153" i="16" s="1"/>
  <c r="AF153" i="16" s="1"/>
  <c r="AQ148" i="16"/>
  <c r="M148" i="16"/>
  <c r="N148" i="16" s="1"/>
  <c r="O148" i="16" s="1"/>
  <c r="P148" i="16" s="1"/>
  <c r="Q148" i="16" s="1"/>
  <c r="R148" i="16" s="1"/>
  <c r="S148" i="16" s="1"/>
  <c r="T148" i="16" s="1"/>
  <c r="U148" i="16" s="1"/>
  <c r="V148" i="16" s="1"/>
  <c r="W148" i="16" s="1"/>
  <c r="X148" i="16" s="1"/>
  <c r="Y148" i="16" s="1"/>
  <c r="Z148" i="16" s="1"/>
  <c r="AA148" i="16" s="1"/>
  <c r="AB148" i="16" s="1"/>
  <c r="AC148" i="16" s="1"/>
  <c r="AD148" i="16" s="1"/>
  <c r="AE148" i="16" s="1"/>
  <c r="AF148" i="16" s="1"/>
  <c r="AQ167" i="16"/>
  <c r="M167" i="16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X167" i="16" s="1"/>
  <c r="Y167" i="16" s="1"/>
  <c r="Z167" i="16" s="1"/>
  <c r="AA167" i="16" s="1"/>
  <c r="AB167" i="16" s="1"/>
  <c r="AC167" i="16" s="1"/>
  <c r="AD167" i="16" s="1"/>
  <c r="AE167" i="16" s="1"/>
  <c r="AF167" i="16" s="1"/>
  <c r="AQ142" i="16"/>
  <c r="M142" i="16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X142" i="16" s="1"/>
  <c r="Y142" i="16" s="1"/>
  <c r="Z142" i="16" s="1"/>
  <c r="AA142" i="16" s="1"/>
  <c r="AB142" i="16" s="1"/>
  <c r="AC142" i="16" s="1"/>
  <c r="AD142" i="16" s="1"/>
  <c r="AE142" i="16" s="1"/>
  <c r="AF142" i="16" s="1"/>
  <c r="AQ146" i="16"/>
  <c r="M146" i="16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X146" i="16" s="1"/>
  <c r="Y146" i="16" s="1"/>
  <c r="Z146" i="16" s="1"/>
  <c r="AA146" i="16" s="1"/>
  <c r="AB146" i="16" s="1"/>
  <c r="AC146" i="16" s="1"/>
  <c r="AD146" i="16" s="1"/>
  <c r="AE146" i="16" s="1"/>
  <c r="AF146" i="16" s="1"/>
  <c r="AQ159" i="16"/>
  <c r="M159" i="16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X159" i="16" s="1"/>
  <c r="Y159" i="16" s="1"/>
  <c r="Z159" i="16" s="1"/>
  <c r="AA159" i="16" s="1"/>
  <c r="AB159" i="16" s="1"/>
  <c r="AC159" i="16" s="1"/>
  <c r="AD159" i="16" s="1"/>
  <c r="AE159" i="16" s="1"/>
  <c r="AF159" i="16" s="1"/>
  <c r="AQ139" i="16"/>
  <c r="M139" i="16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X139" i="16" s="1"/>
  <c r="Y139" i="16" s="1"/>
  <c r="Z139" i="16" s="1"/>
  <c r="AA139" i="16" s="1"/>
  <c r="AB139" i="16" s="1"/>
  <c r="AC139" i="16" s="1"/>
  <c r="AD139" i="16" s="1"/>
  <c r="AE139" i="16" s="1"/>
  <c r="AF139" i="16" s="1"/>
  <c r="AQ155" i="16"/>
  <c r="M155" i="16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X155" i="16" s="1"/>
  <c r="Y155" i="16" s="1"/>
  <c r="Z155" i="16" s="1"/>
  <c r="AA155" i="16" s="1"/>
  <c r="AB155" i="16" s="1"/>
  <c r="AC155" i="16" s="1"/>
  <c r="AD155" i="16" s="1"/>
  <c r="AE155" i="16" s="1"/>
  <c r="AF155" i="16" s="1"/>
  <c r="AQ147" i="16"/>
  <c r="M147" i="16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X147" i="16" s="1"/>
  <c r="Y147" i="16" s="1"/>
  <c r="Z147" i="16" s="1"/>
  <c r="AA147" i="16" s="1"/>
  <c r="AB147" i="16" s="1"/>
  <c r="AC147" i="16" s="1"/>
  <c r="AD147" i="16" s="1"/>
  <c r="AE147" i="16" s="1"/>
  <c r="AF147" i="16" s="1"/>
  <c r="AQ150" i="16"/>
  <c r="M150" i="16"/>
  <c r="N150" i="16" s="1"/>
  <c r="O150" i="16" s="1"/>
  <c r="P150" i="16" s="1"/>
  <c r="Q150" i="16" s="1"/>
  <c r="R150" i="16" s="1"/>
  <c r="S150" i="16" s="1"/>
  <c r="T150" i="16" s="1"/>
  <c r="U150" i="16" s="1"/>
  <c r="V150" i="16" s="1"/>
  <c r="W150" i="16" s="1"/>
  <c r="X150" i="16" s="1"/>
  <c r="Y150" i="16" s="1"/>
  <c r="Z150" i="16" s="1"/>
  <c r="AA150" i="16" s="1"/>
  <c r="AB150" i="16" s="1"/>
  <c r="AC150" i="16" s="1"/>
  <c r="AD150" i="16" s="1"/>
  <c r="AE150" i="16" s="1"/>
  <c r="AF150" i="16" s="1"/>
  <c r="AQ163" i="16"/>
  <c r="M163" i="16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X163" i="16" s="1"/>
  <c r="Y163" i="16" s="1"/>
  <c r="Z163" i="16" s="1"/>
  <c r="AA163" i="16" s="1"/>
  <c r="AB163" i="16" s="1"/>
  <c r="AC163" i="16" s="1"/>
  <c r="AD163" i="16" s="1"/>
  <c r="AE163" i="16" s="1"/>
  <c r="AF163" i="16" s="1"/>
  <c r="T105" i="16"/>
  <c r="V105" i="16"/>
  <c r="W105" i="16"/>
  <c r="AN137" i="16"/>
  <c r="E126" i="16"/>
  <c r="D127" i="16"/>
  <c r="O127" i="16" s="1"/>
  <c r="D129" i="16"/>
  <c r="O129" i="16" s="1"/>
  <c r="D128" i="16"/>
  <c r="O128" i="16" s="1"/>
  <c r="D167" i="16"/>
  <c r="AI167" i="16" s="1"/>
  <c r="D168" i="16"/>
  <c r="AI168" i="16" s="1"/>
  <c r="D166" i="16"/>
  <c r="AI166" i="16" s="1"/>
  <c r="AL152" i="16"/>
  <c r="AN144" i="16"/>
  <c r="AP137" i="16"/>
  <c r="AM144" i="16"/>
  <c r="AO137" i="16"/>
  <c r="V113" i="16"/>
  <c r="U113" i="16"/>
  <c r="AH152" i="16"/>
  <c r="E105" i="16"/>
  <c r="D106" i="16"/>
  <c r="O106" i="16" s="1"/>
  <c r="D111" i="16"/>
  <c r="O111" i="16" s="1"/>
  <c r="D107" i="16"/>
  <c r="O107" i="16" s="1"/>
  <c r="D110" i="16"/>
  <c r="O110" i="16" s="1"/>
  <c r="D108" i="16"/>
  <c r="O108" i="16" s="1"/>
  <c r="D149" i="16"/>
  <c r="AI149" i="16" s="1"/>
  <c r="D146" i="16"/>
  <c r="AI146" i="16" s="1"/>
  <c r="D148" i="16"/>
  <c r="AI148" i="16" s="1"/>
  <c r="D150" i="16"/>
  <c r="AI150" i="16" s="1"/>
  <c r="D147" i="16"/>
  <c r="AI147" i="16" s="1"/>
  <c r="D145" i="16"/>
  <c r="AI145" i="16" s="1"/>
  <c r="D109" i="16"/>
  <c r="O109" i="16" s="1"/>
  <c r="N98" i="16"/>
  <c r="AP152" i="16"/>
  <c r="AM137" i="16"/>
  <c r="T113" i="16"/>
  <c r="AL144" i="16"/>
  <c r="AO152" i="16"/>
  <c r="AL137" i="16"/>
  <c r="AP144" i="16"/>
  <c r="W113" i="16"/>
  <c r="AH137" i="16"/>
  <c r="AM152" i="16"/>
  <c r="AO144" i="16"/>
  <c r="R113" i="16"/>
  <c r="N113" i="16"/>
  <c r="AH144" i="16"/>
  <c r="E119" i="16"/>
  <c r="D120" i="16"/>
  <c r="O120" i="16" s="1"/>
  <c r="D121" i="16"/>
  <c r="O121" i="16" s="1"/>
  <c r="D124" i="16"/>
  <c r="O124" i="16" s="1"/>
  <c r="D162" i="16"/>
  <c r="AI162" i="16" s="1"/>
  <c r="D163" i="16"/>
  <c r="AI163" i="16" s="1"/>
  <c r="D123" i="16"/>
  <c r="O123" i="16" s="1"/>
  <c r="D160" i="16"/>
  <c r="AI160" i="16" s="1"/>
  <c r="D161" i="16"/>
  <c r="AI161" i="16" s="1"/>
  <c r="D159" i="16"/>
  <c r="AI159" i="16" s="1"/>
  <c r="E98" i="16"/>
  <c r="E138" i="16" s="1"/>
  <c r="D101" i="16"/>
  <c r="O101" i="16" s="1"/>
  <c r="D102" i="16"/>
  <c r="O102" i="16" s="1"/>
  <c r="D99" i="16"/>
  <c r="O99" i="16" s="1"/>
  <c r="D103" i="16"/>
  <c r="O103" i="16" s="1"/>
  <c r="D100" i="16"/>
  <c r="O100" i="16" s="1"/>
  <c r="D142" i="16"/>
  <c r="AI142" i="16" s="1"/>
  <c r="D138" i="16"/>
  <c r="AI138" i="16" s="1"/>
  <c r="D141" i="16"/>
  <c r="AI141" i="16" s="1"/>
  <c r="D140" i="16"/>
  <c r="AI140" i="16" s="1"/>
  <c r="D139" i="16"/>
  <c r="AI139" i="16" s="1"/>
  <c r="S113" i="16"/>
  <c r="E113" i="16"/>
  <c r="D117" i="16"/>
  <c r="O117" i="16" s="1"/>
  <c r="D115" i="16"/>
  <c r="O115" i="16" s="1"/>
  <c r="D116" i="16"/>
  <c r="O116" i="16" s="1"/>
  <c r="D155" i="16"/>
  <c r="AI155" i="16" s="1"/>
  <c r="D153" i="16"/>
  <c r="AI153" i="16" s="1"/>
  <c r="D156" i="16"/>
  <c r="AI156" i="16" s="1"/>
  <c r="D154" i="16"/>
  <c r="AI154" i="16" s="1"/>
  <c r="D114" i="16"/>
  <c r="O114" i="16" s="1"/>
  <c r="N105" i="16"/>
  <c r="AN152" i="16"/>
  <c r="R100" i="16"/>
  <c r="R101" i="16"/>
  <c r="R102" i="16"/>
  <c r="R103" i="16"/>
  <c r="R99" i="16"/>
  <c r="AQ137" i="16" l="1"/>
  <c r="AS137" i="16" s="1"/>
  <c r="BI137" i="16"/>
  <c r="AT137" i="16"/>
  <c r="BB137" i="16"/>
  <c r="BJ137" i="16"/>
  <c r="BF137" i="16"/>
  <c r="AU137" i="16"/>
  <c r="BC137" i="16"/>
  <c r="BG137" i="16"/>
  <c r="BK137" i="16"/>
  <c r="AV137" i="16"/>
  <c r="BD137" i="16"/>
  <c r="AY137" i="16"/>
  <c r="AZ137" i="16"/>
  <c r="AW137" i="16"/>
  <c r="BE137" i="16"/>
  <c r="AX137" i="16"/>
  <c r="AR137" i="16"/>
  <c r="BH137" i="16"/>
  <c r="AU155" i="16"/>
  <c r="BC155" i="16"/>
  <c r="BK155" i="16"/>
  <c r="AV155" i="16"/>
  <c r="BD155" i="16"/>
  <c r="AW155" i="16"/>
  <c r="BE155" i="16"/>
  <c r="AY155" i="16"/>
  <c r="BG155" i="16"/>
  <c r="AT155" i="16"/>
  <c r="BB155" i="16"/>
  <c r="BJ155" i="16"/>
  <c r="AZ155" i="16"/>
  <c r="BA155" i="16"/>
  <c r="AR155" i="16"/>
  <c r="AS155" i="16"/>
  <c r="BF155" i="16"/>
  <c r="BH155" i="16"/>
  <c r="BI155" i="16"/>
  <c r="AX155" i="16"/>
  <c r="AV142" i="16"/>
  <c r="BD142" i="16"/>
  <c r="AW142" i="16"/>
  <c r="BE142" i="16"/>
  <c r="AX142" i="16"/>
  <c r="BF142" i="16"/>
  <c r="AZ142" i="16"/>
  <c r="BH142" i="16"/>
  <c r="AT142" i="16"/>
  <c r="BB142" i="16"/>
  <c r="BJ142" i="16"/>
  <c r="AU142" i="16"/>
  <c r="BC142" i="16"/>
  <c r="BK142" i="16"/>
  <c r="AS142" i="16"/>
  <c r="AY142" i="16"/>
  <c r="BA142" i="16"/>
  <c r="BG142" i="16"/>
  <c r="BI142" i="16"/>
  <c r="AR142" i="16"/>
  <c r="AV161" i="16"/>
  <c r="BD161" i="16"/>
  <c r="AW161" i="16"/>
  <c r="BE161" i="16"/>
  <c r="AX161" i="16"/>
  <c r="BF161" i="16"/>
  <c r="AZ161" i="16"/>
  <c r="BH161" i="16"/>
  <c r="AU161" i="16"/>
  <c r="BK161" i="16"/>
  <c r="AY161" i="16"/>
  <c r="AS161" i="16"/>
  <c r="BA161" i="16"/>
  <c r="AT161" i="16"/>
  <c r="BB161" i="16"/>
  <c r="BC161" i="16"/>
  <c r="BG161" i="16"/>
  <c r="BI161" i="16"/>
  <c r="AR161" i="16"/>
  <c r="BJ161" i="16"/>
  <c r="AQ152" i="16"/>
  <c r="AZ166" i="16"/>
  <c r="AS166" i="16"/>
  <c r="BA166" i="16"/>
  <c r="AT166" i="16"/>
  <c r="BB166" i="16"/>
  <c r="AV166" i="16"/>
  <c r="BD166" i="16"/>
  <c r="AY166" i="16"/>
  <c r="BK166" i="16"/>
  <c r="BH166" i="16"/>
  <c r="BC166" i="16"/>
  <c r="AW166" i="16"/>
  <c r="AX166" i="16"/>
  <c r="BE166" i="16"/>
  <c r="AR166" i="16"/>
  <c r="AU166" i="16"/>
  <c r="BF166" i="16"/>
  <c r="BJ166" i="16"/>
  <c r="BG166" i="16"/>
  <c r="BI166" i="16"/>
  <c r="AZ156" i="16"/>
  <c r="BH156" i="16"/>
  <c r="AS156" i="16"/>
  <c r="BA156" i="16"/>
  <c r="BI156" i="16"/>
  <c r="AT156" i="16"/>
  <c r="BB156" i="16"/>
  <c r="BJ156" i="16"/>
  <c r="AV156" i="16"/>
  <c r="BD156" i="16"/>
  <c r="AY156" i="16"/>
  <c r="BG156" i="16"/>
  <c r="BC156" i="16"/>
  <c r="BE156" i="16"/>
  <c r="AX156" i="16"/>
  <c r="BF156" i="16"/>
  <c r="AR156" i="16"/>
  <c r="BK156" i="16"/>
  <c r="AU156" i="16"/>
  <c r="AW156" i="16"/>
  <c r="AX163" i="16"/>
  <c r="BF163" i="16"/>
  <c r="AY163" i="16"/>
  <c r="BG163" i="16"/>
  <c r="AZ163" i="16"/>
  <c r="BH163" i="16"/>
  <c r="AT163" i="16"/>
  <c r="BB163" i="16"/>
  <c r="BJ163" i="16"/>
  <c r="BE163" i="16"/>
  <c r="AR163" i="16"/>
  <c r="BD163" i="16"/>
  <c r="AS163" i="16"/>
  <c r="BI163" i="16"/>
  <c r="BA163" i="16"/>
  <c r="BC163" i="16"/>
  <c r="AU163" i="16"/>
  <c r="BK163" i="16"/>
  <c r="AV163" i="16"/>
  <c r="AW163" i="16"/>
  <c r="AZ167" i="16"/>
  <c r="BH167" i="16"/>
  <c r="AS167" i="16"/>
  <c r="BA167" i="16"/>
  <c r="BI167" i="16"/>
  <c r="AW167" i="16"/>
  <c r="BG167" i="16"/>
  <c r="AT167" i="16"/>
  <c r="BB167" i="16"/>
  <c r="BJ167" i="16"/>
  <c r="AU167" i="16"/>
  <c r="BC167" i="16"/>
  <c r="BK167" i="16"/>
  <c r="AR167" i="16"/>
  <c r="BF167" i="16"/>
  <c r="AV167" i="16"/>
  <c r="BD167" i="16"/>
  <c r="BE167" i="16"/>
  <c r="AX167" i="16"/>
  <c r="AY167" i="16"/>
  <c r="AY160" i="16"/>
  <c r="BG160" i="16"/>
  <c r="AZ160" i="16"/>
  <c r="BH160" i="16"/>
  <c r="AS160" i="16"/>
  <c r="BA160" i="16"/>
  <c r="BI160" i="16"/>
  <c r="AU160" i="16"/>
  <c r="BC160" i="16"/>
  <c r="BK160" i="16"/>
  <c r="AX160" i="16"/>
  <c r="BB160" i="16"/>
  <c r="BJ160" i="16"/>
  <c r="AR160" i="16"/>
  <c r="BD160" i="16"/>
  <c r="BE160" i="16"/>
  <c r="AW160" i="16"/>
  <c r="BF160" i="16"/>
  <c r="AT160" i="16"/>
  <c r="AV160" i="16"/>
  <c r="AY150" i="16"/>
  <c r="BG150" i="16"/>
  <c r="AZ150" i="16"/>
  <c r="BH150" i="16"/>
  <c r="AS150" i="16"/>
  <c r="BA150" i="16"/>
  <c r="BI150" i="16"/>
  <c r="AU150" i="16"/>
  <c r="BC150" i="16"/>
  <c r="BK150" i="16"/>
  <c r="AX150" i="16"/>
  <c r="BF150" i="16"/>
  <c r="AT150" i="16"/>
  <c r="AV150" i="16"/>
  <c r="AW150" i="16"/>
  <c r="BD150" i="16"/>
  <c r="BB150" i="16"/>
  <c r="AR150" i="16"/>
  <c r="BE150" i="16"/>
  <c r="BJ150" i="16"/>
  <c r="AT159" i="16"/>
  <c r="BB159" i="16"/>
  <c r="BJ159" i="16"/>
  <c r="AU159" i="16"/>
  <c r="BC159" i="16"/>
  <c r="BK159" i="16"/>
  <c r="AV159" i="16"/>
  <c r="BD159" i="16"/>
  <c r="AX159" i="16"/>
  <c r="BF159" i="16"/>
  <c r="BA159" i="16"/>
  <c r="BE159" i="16"/>
  <c r="AW159" i="16"/>
  <c r="AY159" i="16"/>
  <c r="AZ159" i="16"/>
  <c r="BG159" i="16"/>
  <c r="BH159" i="16"/>
  <c r="AS159" i="16"/>
  <c r="BI159" i="16"/>
  <c r="AR159" i="16"/>
  <c r="AW148" i="16"/>
  <c r="BE148" i="16"/>
  <c r="AX148" i="16"/>
  <c r="BF148" i="16"/>
  <c r="AY148" i="16"/>
  <c r="BG148" i="16"/>
  <c r="AS148" i="16"/>
  <c r="BA148" i="16"/>
  <c r="BI148" i="16"/>
  <c r="AV148" i="16"/>
  <c r="BD148" i="16"/>
  <c r="BH148" i="16"/>
  <c r="BJ148" i="16"/>
  <c r="BK148" i="16"/>
  <c r="AT148" i="16"/>
  <c r="AR148" i="16"/>
  <c r="BB148" i="16"/>
  <c r="AU148" i="16"/>
  <c r="AZ148" i="16"/>
  <c r="BC148" i="16"/>
  <c r="AX145" i="16"/>
  <c r="BF145" i="16"/>
  <c r="AY145" i="16"/>
  <c r="BG145" i="16"/>
  <c r="AZ145" i="16"/>
  <c r="BH145" i="16"/>
  <c r="AT145" i="16"/>
  <c r="BB145" i="16"/>
  <c r="BJ145" i="16"/>
  <c r="AV145" i="16"/>
  <c r="BD145" i="16"/>
  <c r="AW145" i="16"/>
  <c r="BE145" i="16"/>
  <c r="AR145" i="16"/>
  <c r="BC145" i="16"/>
  <c r="BI145" i="16"/>
  <c r="BK145" i="16"/>
  <c r="AS145" i="16"/>
  <c r="AU145" i="16"/>
  <c r="BA145" i="16"/>
  <c r="AW168" i="16"/>
  <c r="BE168" i="16"/>
  <c r="BK168" i="16"/>
  <c r="AX168" i="16"/>
  <c r="BF168" i="16"/>
  <c r="AT168" i="16"/>
  <c r="BJ168" i="16"/>
  <c r="BD168" i="16"/>
  <c r="AY168" i="16"/>
  <c r="BG168" i="16"/>
  <c r="AZ168" i="16"/>
  <c r="BH168" i="16"/>
  <c r="AS168" i="16"/>
  <c r="BA168" i="16"/>
  <c r="BI168" i="16"/>
  <c r="AR168" i="16"/>
  <c r="BB168" i="16"/>
  <c r="AU168" i="16"/>
  <c r="BC168" i="16"/>
  <c r="AV168" i="16"/>
  <c r="AZ138" i="16"/>
  <c r="BH138" i="16"/>
  <c r="AS138" i="16"/>
  <c r="BA138" i="16"/>
  <c r="BI138" i="16"/>
  <c r="AT138" i="16"/>
  <c r="BB138" i="16"/>
  <c r="BJ138" i="16"/>
  <c r="AV138" i="16"/>
  <c r="BD138" i="16"/>
  <c r="AX138" i="16"/>
  <c r="BF138" i="16"/>
  <c r="AY138" i="16"/>
  <c r="BG138" i="16"/>
  <c r="BC138" i="16"/>
  <c r="BE138" i="16"/>
  <c r="AU138" i="16"/>
  <c r="BK138" i="16"/>
  <c r="AR138" i="16"/>
  <c r="AW138" i="16"/>
  <c r="AY141" i="16"/>
  <c r="BG141" i="16"/>
  <c r="AZ141" i="16"/>
  <c r="BH141" i="16"/>
  <c r="AS141" i="16"/>
  <c r="BA141" i="16"/>
  <c r="BI141" i="16"/>
  <c r="AU141" i="16"/>
  <c r="BC141" i="16"/>
  <c r="BK141" i="16"/>
  <c r="AW141" i="16"/>
  <c r="BE141" i="16"/>
  <c r="AX141" i="16"/>
  <c r="BF141" i="16"/>
  <c r="BJ141" i="16"/>
  <c r="BB141" i="16"/>
  <c r="AR141" i="16"/>
  <c r="AT141" i="16"/>
  <c r="AV141" i="16"/>
  <c r="BD141" i="16"/>
  <c r="AW139" i="16"/>
  <c r="BE139" i="16"/>
  <c r="AX139" i="16"/>
  <c r="BF139" i="16"/>
  <c r="AY139" i="16"/>
  <c r="BG139" i="16"/>
  <c r="AS139" i="16"/>
  <c r="BA139" i="16"/>
  <c r="BI139" i="16"/>
  <c r="AU139" i="16"/>
  <c r="BC139" i="16"/>
  <c r="BK139" i="16"/>
  <c r="AV139" i="16"/>
  <c r="BD139" i="16"/>
  <c r="BH139" i="16"/>
  <c r="BJ139" i="16"/>
  <c r="AT139" i="16"/>
  <c r="AR139" i="16"/>
  <c r="AZ139" i="16"/>
  <c r="BB139" i="16"/>
  <c r="AT140" i="16"/>
  <c r="BB140" i="16"/>
  <c r="BJ140" i="16"/>
  <c r="AU140" i="16"/>
  <c r="BC140" i="16"/>
  <c r="BK140" i="16"/>
  <c r="AV140" i="16"/>
  <c r="BD140" i="16"/>
  <c r="AX140" i="16"/>
  <c r="BF140" i="16"/>
  <c r="AZ140" i="16"/>
  <c r="BH140" i="16"/>
  <c r="AS140" i="16"/>
  <c r="BA140" i="16"/>
  <c r="BI140" i="16"/>
  <c r="AW140" i="16"/>
  <c r="AY140" i="16"/>
  <c r="BE140" i="16"/>
  <c r="BG140" i="16"/>
  <c r="AR140" i="16"/>
  <c r="AQ144" i="16"/>
  <c r="AZ147" i="16"/>
  <c r="BH147" i="16"/>
  <c r="AS147" i="16"/>
  <c r="BA147" i="16"/>
  <c r="BI147" i="16"/>
  <c r="AT147" i="16"/>
  <c r="BB147" i="16"/>
  <c r="BJ147" i="16"/>
  <c r="AV147" i="16"/>
  <c r="BD147" i="16"/>
  <c r="AY147" i="16"/>
  <c r="BG147" i="16"/>
  <c r="BE147" i="16"/>
  <c r="BF147" i="16"/>
  <c r="BK147" i="16"/>
  <c r="AR147" i="16"/>
  <c r="BC147" i="16"/>
  <c r="AU147" i="16"/>
  <c r="AW147" i="16"/>
  <c r="AX147" i="16"/>
  <c r="AU146" i="16"/>
  <c r="BC146" i="16"/>
  <c r="BK146" i="16"/>
  <c r="AV146" i="16"/>
  <c r="BD146" i="16"/>
  <c r="AW146" i="16"/>
  <c r="BE146" i="16"/>
  <c r="AY146" i="16"/>
  <c r="BG146" i="16"/>
  <c r="AS146" i="16"/>
  <c r="BA146" i="16"/>
  <c r="BI146" i="16"/>
  <c r="AT146" i="16"/>
  <c r="BB146" i="16"/>
  <c r="BJ146" i="16"/>
  <c r="AX146" i="16"/>
  <c r="AZ146" i="16"/>
  <c r="AR146" i="16"/>
  <c r="BF146" i="16"/>
  <c r="BH146" i="16"/>
  <c r="AS153" i="16"/>
  <c r="BA153" i="16"/>
  <c r="BI153" i="16"/>
  <c r="AT153" i="16"/>
  <c r="BB153" i="16"/>
  <c r="BJ153" i="16"/>
  <c r="AU153" i="16"/>
  <c r="BC153" i="16"/>
  <c r="BK153" i="16"/>
  <c r="AW153" i="16"/>
  <c r="BE153" i="16"/>
  <c r="AZ153" i="16"/>
  <c r="BH153" i="16"/>
  <c r="AV153" i="16"/>
  <c r="AX153" i="16"/>
  <c r="BG153" i="16"/>
  <c r="AY153" i="16"/>
  <c r="BD153" i="16"/>
  <c r="BF153" i="16"/>
  <c r="AR153" i="16"/>
  <c r="AT149" i="16"/>
  <c r="BB149" i="16"/>
  <c r="BJ149" i="16"/>
  <c r="AU149" i="16"/>
  <c r="BC149" i="16"/>
  <c r="BK149" i="16"/>
  <c r="AV149" i="16"/>
  <c r="BD149" i="16"/>
  <c r="AX149" i="16"/>
  <c r="BF149" i="16"/>
  <c r="AS149" i="16"/>
  <c r="BA149" i="16"/>
  <c r="BI149" i="16"/>
  <c r="BH149" i="16"/>
  <c r="AZ149" i="16"/>
  <c r="BE149" i="16"/>
  <c r="BG149" i="16"/>
  <c r="AW149" i="16"/>
  <c r="AY149" i="16"/>
  <c r="AR149" i="16"/>
  <c r="AX154" i="16"/>
  <c r="BF154" i="16"/>
  <c r="AY154" i="16"/>
  <c r="BG154" i="16"/>
  <c r="AZ154" i="16"/>
  <c r="BH154" i="16"/>
  <c r="AT154" i="16"/>
  <c r="BB154" i="16"/>
  <c r="BJ154" i="16"/>
  <c r="AW154" i="16"/>
  <c r="BE154" i="16"/>
  <c r="AV154" i="16"/>
  <c r="AR154" i="16"/>
  <c r="BA154" i="16"/>
  <c r="BK154" i="16"/>
  <c r="BC154" i="16"/>
  <c r="BD154" i="16"/>
  <c r="AU154" i="16"/>
  <c r="BI154" i="16"/>
  <c r="AS154" i="16"/>
  <c r="AS162" i="16"/>
  <c r="BA162" i="16"/>
  <c r="BI162" i="16"/>
  <c r="AT162" i="16"/>
  <c r="BB162" i="16"/>
  <c r="BJ162" i="16"/>
  <c r="AU162" i="16"/>
  <c r="BC162" i="16"/>
  <c r="BK162" i="16"/>
  <c r="AW162" i="16"/>
  <c r="BE162" i="16"/>
  <c r="BH162" i="16"/>
  <c r="AV162" i="16"/>
  <c r="BG162" i="16"/>
  <c r="AX162" i="16"/>
  <c r="AY162" i="16"/>
  <c r="BD162" i="16"/>
  <c r="BF162" i="16"/>
  <c r="AZ162" i="16"/>
  <c r="AR162" i="16"/>
  <c r="F98" i="16"/>
  <c r="E100" i="16"/>
  <c r="P100" i="16" s="1"/>
  <c r="E101" i="16"/>
  <c r="P101" i="16" s="1"/>
  <c r="E102" i="16"/>
  <c r="P102" i="16" s="1"/>
  <c r="E140" i="16"/>
  <c r="AJ140" i="16" s="1"/>
  <c r="E99" i="16"/>
  <c r="P99" i="16" s="1"/>
  <c r="E103" i="16"/>
  <c r="P103" i="16" s="1"/>
  <c r="E142" i="16"/>
  <c r="AJ142" i="16" s="1"/>
  <c r="E141" i="16"/>
  <c r="AJ141" i="16" s="1"/>
  <c r="E139" i="16"/>
  <c r="AJ139" i="16" s="1"/>
  <c r="AJ138" i="16"/>
  <c r="F119" i="16"/>
  <c r="E122" i="16"/>
  <c r="P122" i="16" s="1"/>
  <c r="E123" i="16"/>
  <c r="P123" i="16" s="1"/>
  <c r="E163" i="16"/>
  <c r="AJ163" i="16" s="1"/>
  <c r="E121" i="16"/>
  <c r="P121" i="16" s="1"/>
  <c r="E124" i="16"/>
  <c r="P124" i="16" s="1"/>
  <c r="E120" i="16"/>
  <c r="P120" i="16" s="1"/>
  <c r="E160" i="16"/>
  <c r="AJ160" i="16" s="1"/>
  <c r="E162" i="16"/>
  <c r="AJ162" i="16" s="1"/>
  <c r="E161" i="16"/>
  <c r="AJ161" i="16" s="1"/>
  <c r="E159" i="16"/>
  <c r="AJ159" i="16" s="1"/>
  <c r="AI137" i="16"/>
  <c r="O113" i="16"/>
  <c r="F113" i="16"/>
  <c r="E115" i="16"/>
  <c r="P115" i="16" s="1"/>
  <c r="E156" i="16"/>
  <c r="AJ156" i="16" s="1"/>
  <c r="E116" i="16"/>
  <c r="P116" i="16" s="1"/>
  <c r="E154" i="16"/>
  <c r="AJ154" i="16" s="1"/>
  <c r="E114" i="16"/>
  <c r="P114" i="16" s="1"/>
  <c r="E153" i="16"/>
  <c r="AJ153" i="16" s="1"/>
  <c r="E117" i="16"/>
  <c r="P117" i="16" s="1"/>
  <c r="E155" i="16"/>
  <c r="AJ155" i="16" s="1"/>
  <c r="AI144" i="16"/>
  <c r="O98" i="16"/>
  <c r="O105" i="16"/>
  <c r="AI152" i="16"/>
  <c r="F105" i="16"/>
  <c r="E108" i="16"/>
  <c r="P108" i="16" s="1"/>
  <c r="E106" i="16"/>
  <c r="P106" i="16" s="1"/>
  <c r="E111" i="16"/>
  <c r="P111" i="16" s="1"/>
  <c r="E107" i="16"/>
  <c r="P107" i="16" s="1"/>
  <c r="E110" i="16"/>
  <c r="P110" i="16" s="1"/>
  <c r="E148" i="16"/>
  <c r="AJ148" i="16" s="1"/>
  <c r="E146" i="16"/>
  <c r="AJ146" i="16" s="1"/>
  <c r="E147" i="16"/>
  <c r="AJ147" i="16" s="1"/>
  <c r="E149" i="16"/>
  <c r="AJ149" i="16" s="1"/>
  <c r="E145" i="16"/>
  <c r="AJ145" i="16" s="1"/>
  <c r="E150" i="16"/>
  <c r="AJ150" i="16" s="1"/>
  <c r="E109" i="16"/>
  <c r="P109" i="16" s="1"/>
  <c r="F126" i="16"/>
  <c r="E128" i="16"/>
  <c r="P128" i="16" s="1"/>
  <c r="E129" i="16"/>
  <c r="P129" i="16" s="1"/>
  <c r="E127" i="16"/>
  <c r="P127" i="16" s="1"/>
  <c r="E167" i="16"/>
  <c r="AJ167" i="16" s="1"/>
  <c r="E168" i="16"/>
  <c r="AJ168" i="16" s="1"/>
  <c r="E166" i="16"/>
  <c r="AJ166" i="16" s="1"/>
  <c r="S100" i="16"/>
  <c r="S101" i="16"/>
  <c r="S102" i="16"/>
  <c r="S103" i="16"/>
  <c r="R98" i="16"/>
  <c r="S99" i="16"/>
  <c r="BA137" i="16" l="1"/>
  <c r="AS144" i="16"/>
  <c r="BA144" i="16"/>
  <c r="BI144" i="16"/>
  <c r="AT144" i="16"/>
  <c r="BB144" i="16"/>
  <c r="BJ144" i="16"/>
  <c r="AU144" i="16"/>
  <c r="BC144" i="16"/>
  <c r="BK144" i="16"/>
  <c r="AW144" i="16"/>
  <c r="BE144" i="16"/>
  <c r="AY144" i="16"/>
  <c r="BG144" i="16"/>
  <c r="AZ144" i="16"/>
  <c r="BH144" i="16"/>
  <c r="BD144" i="16"/>
  <c r="BF144" i="16"/>
  <c r="AR144" i="16"/>
  <c r="AV144" i="16"/>
  <c r="AX144" i="16"/>
  <c r="AV152" i="16"/>
  <c r="BD152" i="16"/>
  <c r="AW152" i="16"/>
  <c r="BE152" i="16"/>
  <c r="AX152" i="16"/>
  <c r="BF152" i="16"/>
  <c r="AZ152" i="16"/>
  <c r="BH152" i="16"/>
  <c r="AU152" i="16"/>
  <c r="BC152" i="16"/>
  <c r="BK152" i="16"/>
  <c r="AS152" i="16"/>
  <c r="AT152" i="16"/>
  <c r="BI152" i="16"/>
  <c r="BJ152" i="16"/>
  <c r="AY152" i="16"/>
  <c r="BA152" i="16"/>
  <c r="AR152" i="16"/>
  <c r="BB152" i="16"/>
  <c r="BG152" i="16"/>
  <c r="P113" i="16"/>
  <c r="P98" i="16"/>
  <c r="P105" i="16"/>
  <c r="AJ152" i="16"/>
  <c r="F108" i="16"/>
  <c r="Q108" i="16" s="1"/>
  <c r="F106" i="16"/>
  <c r="Q106" i="16" s="1"/>
  <c r="F111" i="16"/>
  <c r="Q111" i="16" s="1"/>
  <c r="F107" i="16"/>
  <c r="Q107" i="16" s="1"/>
  <c r="F146" i="16"/>
  <c r="AK146" i="16" s="1"/>
  <c r="F148" i="16"/>
  <c r="AK148" i="16" s="1"/>
  <c r="F149" i="16"/>
  <c r="AK149" i="16" s="1"/>
  <c r="F109" i="16"/>
  <c r="Q109" i="16" s="1"/>
  <c r="F150" i="16"/>
  <c r="AK150" i="16" s="1"/>
  <c r="F147" i="16"/>
  <c r="AK147" i="16" s="1"/>
  <c r="F145" i="16"/>
  <c r="AK145" i="16" s="1"/>
  <c r="F110" i="16"/>
  <c r="Q110" i="16" s="1"/>
  <c r="AJ144" i="16"/>
  <c r="F122" i="16"/>
  <c r="Q122" i="16" s="1"/>
  <c r="F124" i="16"/>
  <c r="Q124" i="16" s="1"/>
  <c r="F121" i="16"/>
  <c r="Q121" i="16" s="1"/>
  <c r="F160" i="16"/>
  <c r="AK160" i="16" s="1"/>
  <c r="F161" i="16"/>
  <c r="AK161" i="16" s="1"/>
  <c r="F159" i="16"/>
  <c r="AK159" i="16" s="1"/>
  <c r="F163" i="16"/>
  <c r="AK163" i="16" s="1"/>
  <c r="F123" i="16"/>
  <c r="Q123" i="16" s="1"/>
  <c r="F162" i="16"/>
  <c r="AK162" i="16" s="1"/>
  <c r="F120" i="16"/>
  <c r="Q120" i="16" s="1"/>
  <c r="F127" i="16"/>
  <c r="Q127" i="16" s="1"/>
  <c r="F128" i="16"/>
  <c r="Q128" i="16" s="1"/>
  <c r="F129" i="16"/>
  <c r="Q129" i="16" s="1"/>
  <c r="F168" i="16"/>
  <c r="AK168" i="16" s="1"/>
  <c r="F167" i="16"/>
  <c r="AK167" i="16" s="1"/>
  <c r="F166" i="16"/>
  <c r="AK166" i="16" s="1"/>
  <c r="AJ137" i="16"/>
  <c r="F115" i="16"/>
  <c r="Q115" i="16" s="1"/>
  <c r="F153" i="16"/>
  <c r="AK153" i="16" s="1"/>
  <c r="F156" i="16"/>
  <c r="AK156" i="16" s="1"/>
  <c r="F154" i="16"/>
  <c r="AK154" i="16" s="1"/>
  <c r="F117" i="16"/>
  <c r="Q117" i="16" s="1"/>
  <c r="F114" i="16"/>
  <c r="Q114" i="16" s="1"/>
  <c r="F155" i="16"/>
  <c r="AK155" i="16" s="1"/>
  <c r="F116" i="16"/>
  <c r="Q116" i="16" s="1"/>
  <c r="F100" i="16"/>
  <c r="Q100" i="16" s="1"/>
  <c r="F101" i="16"/>
  <c r="Q101" i="16" s="1"/>
  <c r="F102" i="16"/>
  <c r="Q102" i="16" s="1"/>
  <c r="F99" i="16"/>
  <c r="Q99" i="16" s="1"/>
  <c r="F103" i="16"/>
  <c r="Q103" i="16" s="1"/>
  <c r="F141" i="16"/>
  <c r="AK141" i="16" s="1"/>
  <c r="F138" i="16"/>
  <c r="AK138" i="16" s="1"/>
  <c r="F139" i="16"/>
  <c r="AK139" i="16" s="1"/>
  <c r="F142" i="16"/>
  <c r="AK142" i="16" s="1"/>
  <c r="F140" i="16"/>
  <c r="AK140" i="16" s="1"/>
  <c r="T101" i="16"/>
  <c r="T100" i="16"/>
  <c r="T102" i="16"/>
  <c r="T103" i="16"/>
  <c r="T99" i="16"/>
  <c r="S98" i="16"/>
  <c r="AK152" i="16" l="1"/>
  <c r="Q105" i="16"/>
  <c r="AK137" i="16"/>
  <c r="Q113" i="16"/>
  <c r="AK144" i="16"/>
  <c r="Q98" i="16"/>
  <c r="U100" i="16"/>
  <c r="U101" i="16"/>
  <c r="U102" i="16"/>
  <c r="U103" i="16"/>
  <c r="T98" i="16"/>
  <c r="U99" i="16"/>
  <c r="V100" i="16" l="1"/>
  <c r="V101" i="16"/>
  <c r="V102" i="16"/>
  <c r="V103" i="16"/>
  <c r="U98" i="16"/>
  <c r="V99" i="16"/>
  <c r="W100" i="16" l="1"/>
  <c r="W101" i="16"/>
  <c r="W102" i="16"/>
  <c r="W103" i="16"/>
  <c r="W99" i="16"/>
  <c r="V98" i="16"/>
  <c r="W98" i="16" l="1"/>
  <c r="Q30" i="6"/>
  <c r="R30" i="6"/>
  <c r="S30" i="6"/>
  <c r="T30" i="6"/>
  <c r="U30" i="6"/>
  <c r="V30" i="6"/>
  <c r="W30" i="6"/>
  <c r="X30" i="6"/>
  <c r="Y30" i="6"/>
  <c r="Z30" i="6"/>
  <c r="AA30" i="6"/>
  <c r="AA32" i="6" s="1"/>
  <c r="Q31" i="6"/>
  <c r="P8" i="8" l="1"/>
  <c r="P9" i="8"/>
  <c r="P10" i="8"/>
  <c r="P11" i="8"/>
  <c r="P12" i="8"/>
  <c r="S8" i="8"/>
  <c r="S9" i="8"/>
  <c r="S10" i="8"/>
  <c r="S11" i="8"/>
  <c r="S12" i="8"/>
  <c r="BP31" i="7" l="1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BO31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BO28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BO30" i="7"/>
  <c r="CN28" i="7"/>
  <c r="BO29" i="7"/>
  <c r="Q41" i="7"/>
  <c r="R41" i="7" s="1"/>
  <c r="S41" i="7" s="1"/>
  <c r="T41" i="7" s="1"/>
  <c r="U41" i="7" s="1"/>
  <c r="V41" i="7" s="1"/>
  <c r="W41" i="7" s="1"/>
  <c r="X41" i="7" s="1"/>
  <c r="AA40" i="7"/>
  <c r="AA42" i="7" s="1"/>
  <c r="Z40" i="7"/>
  <c r="Y40" i="7"/>
  <c r="X40" i="7"/>
  <c r="W40" i="7"/>
  <c r="V40" i="7"/>
  <c r="U40" i="7"/>
  <c r="T40" i="7"/>
  <c r="S40" i="7"/>
  <c r="R40" i="7"/>
  <c r="Q40" i="7"/>
  <c r="AA32" i="7"/>
  <c r="AA33" i="7" s="1"/>
  <c r="Q31" i="7"/>
  <c r="R31" i="7" s="1"/>
  <c r="S31" i="7" s="1"/>
  <c r="AA30" i="7"/>
  <c r="Z30" i="7"/>
  <c r="Y30" i="7"/>
  <c r="X30" i="7"/>
  <c r="W30" i="7"/>
  <c r="V30" i="7"/>
  <c r="U30" i="7"/>
  <c r="T30" i="7"/>
  <c r="S30" i="7"/>
  <c r="R30" i="7"/>
  <c r="Q30" i="7"/>
  <c r="R26" i="5"/>
  <c r="S26" i="5"/>
  <c r="T26" i="5"/>
  <c r="U26" i="5"/>
  <c r="V26" i="5"/>
  <c r="W26" i="5"/>
  <c r="X26" i="5"/>
  <c r="Y26" i="5"/>
  <c r="Z26" i="5"/>
  <c r="AA26" i="5"/>
  <c r="R36" i="5"/>
  <c r="S36" i="5"/>
  <c r="T36" i="5"/>
  <c r="U36" i="5"/>
  <c r="V36" i="5"/>
  <c r="W36" i="5"/>
  <c r="X36" i="5"/>
  <c r="Y36" i="5"/>
  <c r="Z36" i="5"/>
  <c r="AA36" i="5"/>
  <c r="R46" i="5"/>
  <c r="S46" i="5"/>
  <c r="T46" i="5"/>
  <c r="U46" i="5"/>
  <c r="V46" i="5"/>
  <c r="W46" i="5"/>
  <c r="X46" i="5"/>
  <c r="Y46" i="5"/>
  <c r="Z46" i="5"/>
  <c r="AA46" i="5"/>
  <c r="Q46" i="5"/>
  <c r="Q36" i="5"/>
  <c r="Q26" i="5"/>
  <c r="Q30" i="5"/>
  <c r="Q41" i="5"/>
  <c r="R41" i="5" s="1"/>
  <c r="AA40" i="5"/>
  <c r="AA42" i="5" s="1"/>
  <c r="Z40" i="5"/>
  <c r="Y40" i="5"/>
  <c r="X40" i="5"/>
  <c r="W40" i="5"/>
  <c r="V40" i="5"/>
  <c r="U40" i="5"/>
  <c r="T40" i="5"/>
  <c r="S40" i="5"/>
  <c r="R40" i="5"/>
  <c r="Q40" i="5"/>
  <c r="Q31" i="5"/>
  <c r="R31" i="5" s="1"/>
  <c r="AA30" i="5"/>
  <c r="AA32" i="5" s="1"/>
  <c r="AA33" i="5" s="1"/>
  <c r="BF33" i="5" s="1"/>
  <c r="CN30" i="5" s="1"/>
  <c r="Z30" i="5"/>
  <c r="Y30" i="5"/>
  <c r="X30" i="5"/>
  <c r="W30" i="5"/>
  <c r="V30" i="5"/>
  <c r="U30" i="5"/>
  <c r="T30" i="5"/>
  <c r="S30" i="5"/>
  <c r="R30" i="5"/>
  <c r="BN30" i="6"/>
  <c r="Q40" i="6"/>
  <c r="Q41" i="6"/>
  <c r="R41" i="6" s="1"/>
  <c r="S41" i="6" s="1"/>
  <c r="T41" i="6" s="1"/>
  <c r="U41" i="6" s="1"/>
  <c r="V41" i="6" s="1"/>
  <c r="W41" i="6" s="1"/>
  <c r="X41" i="6" s="1"/>
  <c r="Y41" i="6" s="1"/>
  <c r="Z41" i="6" s="1"/>
  <c r="AA40" i="6"/>
  <c r="AA42" i="6" s="1"/>
  <c r="AA27" i="6" s="1"/>
  <c r="Z40" i="6"/>
  <c r="Y40" i="6"/>
  <c r="X40" i="6"/>
  <c r="W40" i="6"/>
  <c r="V40" i="6"/>
  <c r="U40" i="6"/>
  <c r="T40" i="6"/>
  <c r="S40" i="6"/>
  <c r="R40" i="6"/>
  <c r="R31" i="6"/>
  <c r="AA33" i="6"/>
  <c r="V46" i="10"/>
  <c r="R24" i="10"/>
  <c r="S24" i="10"/>
  <c r="T24" i="10"/>
  <c r="U24" i="10"/>
  <c r="V24" i="10"/>
  <c r="W24" i="10"/>
  <c r="X24" i="10"/>
  <c r="Y24" i="10"/>
  <c r="Z24" i="10"/>
  <c r="AA24" i="10"/>
  <c r="R40" i="10"/>
  <c r="S40" i="10"/>
  <c r="T40" i="10"/>
  <c r="U40" i="10"/>
  <c r="V40" i="10"/>
  <c r="W40" i="10"/>
  <c r="X40" i="10"/>
  <c r="Y40" i="10"/>
  <c r="Z40" i="10"/>
  <c r="AA40" i="10"/>
  <c r="Q40" i="10"/>
  <c r="Q24" i="10"/>
  <c r="AB37" i="10"/>
  <c r="Q29" i="10"/>
  <c r="R29" i="10" s="1"/>
  <c r="S29" i="10" s="1"/>
  <c r="AA28" i="10"/>
  <c r="AA30" i="10" s="1"/>
  <c r="AA31" i="10" s="1"/>
  <c r="Z28" i="10"/>
  <c r="Y28" i="10"/>
  <c r="X28" i="10"/>
  <c r="W28" i="10"/>
  <c r="V28" i="10"/>
  <c r="U28" i="10"/>
  <c r="T28" i="10"/>
  <c r="S28" i="10"/>
  <c r="R28" i="10"/>
  <c r="Q28" i="10"/>
  <c r="R34" i="10"/>
  <c r="S34" i="10"/>
  <c r="T34" i="10"/>
  <c r="U34" i="10"/>
  <c r="V34" i="10"/>
  <c r="W34" i="10"/>
  <c r="X34" i="10"/>
  <c r="Y34" i="10"/>
  <c r="Z34" i="10"/>
  <c r="AA34" i="10"/>
  <c r="AA36" i="10" s="1"/>
  <c r="AA37" i="10" s="1"/>
  <c r="BA37" i="10" s="1"/>
  <c r="Q34" i="10"/>
  <c r="Q35" i="10"/>
  <c r="R35" i="10" s="1"/>
  <c r="S35" i="10" s="1"/>
  <c r="T35" i="10" s="1"/>
  <c r="U35" i="10" s="1"/>
  <c r="V35" i="10" s="1"/>
  <c r="W35" i="10" s="1"/>
  <c r="X35" i="10" s="1"/>
  <c r="Y35" i="10" s="1"/>
  <c r="Z35" i="10" s="1"/>
  <c r="N33" i="8"/>
  <c r="N36" i="8"/>
  <c r="N37" i="8"/>
  <c r="BF33" i="7" l="1"/>
  <c r="CN30" i="7" s="1"/>
  <c r="Q42" i="7"/>
  <c r="R42" i="7"/>
  <c r="W42" i="7"/>
  <c r="S42" i="7"/>
  <c r="S43" i="7" s="1"/>
  <c r="Q32" i="7"/>
  <c r="U42" i="7"/>
  <c r="U43" i="7" s="1"/>
  <c r="Q32" i="5"/>
  <c r="Q42" i="5"/>
  <c r="R42" i="5"/>
  <c r="R43" i="5" s="1"/>
  <c r="AW43" i="5" s="1"/>
  <c r="CE29" i="5" s="1"/>
  <c r="R32" i="5"/>
  <c r="R33" i="5" s="1"/>
  <c r="AW33" i="5" s="1"/>
  <c r="CE30" i="5" s="1"/>
  <c r="AA47" i="5"/>
  <c r="BF47" i="5" s="1"/>
  <c r="CN31" i="5" s="1"/>
  <c r="AA43" i="5"/>
  <c r="BF43" i="5" s="1"/>
  <c r="CN29" i="5" s="1"/>
  <c r="AA37" i="5"/>
  <c r="BF37" i="5" s="1"/>
  <c r="CN28" i="5" s="1"/>
  <c r="AA27" i="5"/>
  <c r="BF27" i="5" s="1"/>
  <c r="CN27" i="5" s="1"/>
  <c r="AA43" i="6"/>
  <c r="AA37" i="6"/>
  <c r="Z36" i="10"/>
  <c r="Z37" i="10" s="1"/>
  <c r="T31" i="7"/>
  <c r="S32" i="7"/>
  <c r="S33" i="7" s="1"/>
  <c r="AA43" i="7"/>
  <c r="W43" i="7"/>
  <c r="T42" i="7"/>
  <c r="T43" i="7" s="1"/>
  <c r="AA47" i="7"/>
  <c r="Y41" i="7"/>
  <c r="X42" i="7"/>
  <c r="X43" i="7" s="1"/>
  <c r="R43" i="7"/>
  <c r="CE28" i="7"/>
  <c r="R32" i="7"/>
  <c r="R33" i="7" s="1"/>
  <c r="V42" i="7"/>
  <c r="R47" i="5"/>
  <c r="AW47" i="5" s="1"/>
  <c r="CE31" i="5" s="1"/>
  <c r="S31" i="5"/>
  <c r="S41" i="5"/>
  <c r="Q42" i="6"/>
  <c r="AA47" i="6"/>
  <c r="Q30" i="10"/>
  <c r="T29" i="10"/>
  <c r="U29" i="10" s="1"/>
  <c r="V29" i="10" s="1"/>
  <c r="W29" i="10" s="1"/>
  <c r="X29" i="10" s="1"/>
  <c r="S30" i="10"/>
  <c r="S31" i="10" s="1"/>
  <c r="Q36" i="10"/>
  <c r="Q32" i="6"/>
  <c r="R32" i="6"/>
  <c r="S31" i="6"/>
  <c r="T31" i="6" s="1"/>
  <c r="U31" i="6" s="1"/>
  <c r="V31" i="6" s="1"/>
  <c r="W31" i="6" s="1"/>
  <c r="AA25" i="10"/>
  <c r="AA41" i="10"/>
  <c r="R30" i="10"/>
  <c r="R31" i="10" s="1"/>
  <c r="S36" i="10"/>
  <c r="W36" i="10"/>
  <c r="R36" i="10"/>
  <c r="V36" i="10"/>
  <c r="X36" i="10"/>
  <c r="U36" i="10"/>
  <c r="T36" i="10"/>
  <c r="Y36" i="10"/>
  <c r="N31" i="8"/>
  <c r="N32" i="8"/>
  <c r="N29" i="8"/>
  <c r="N30" i="8"/>
  <c r="R37" i="5" l="1"/>
  <c r="AW37" i="5" s="1"/>
  <c r="CE28" i="5" s="1"/>
  <c r="R27" i="5"/>
  <c r="AW27" i="5" s="1"/>
  <c r="CE27" i="5" s="1"/>
  <c r="AX43" i="7"/>
  <c r="CF29" i="7" s="1"/>
  <c r="AZ43" i="7"/>
  <c r="CH29" i="7" s="1"/>
  <c r="BB43" i="7"/>
  <c r="CJ29" i="7" s="1"/>
  <c r="BF43" i="7"/>
  <c r="CN29" i="7" s="1"/>
  <c r="BC43" i="7"/>
  <c r="CK29" i="7" s="1"/>
  <c r="AW43" i="7"/>
  <c r="CE29" i="7" s="1"/>
  <c r="AY43" i="7"/>
  <c r="CG29" i="7" s="1"/>
  <c r="AW33" i="7"/>
  <c r="CE30" i="7" s="1"/>
  <c r="AX33" i="7"/>
  <c r="CF30" i="7" s="1"/>
  <c r="BF47" i="7"/>
  <c r="CN31" i="7" s="1"/>
  <c r="S47" i="7"/>
  <c r="R47" i="7"/>
  <c r="V43" i="7"/>
  <c r="U31" i="7"/>
  <c r="T32" i="7"/>
  <c r="T33" i="7" s="1"/>
  <c r="CG28" i="7"/>
  <c r="Z41" i="7"/>
  <c r="Z42" i="7" s="1"/>
  <c r="Y42" i="7"/>
  <c r="CF28" i="7"/>
  <c r="T41" i="5"/>
  <c r="S42" i="5"/>
  <c r="S32" i="5"/>
  <c r="S33" i="5" s="1"/>
  <c r="AX33" i="5" s="1"/>
  <c r="CF30" i="5" s="1"/>
  <c r="T31" i="5"/>
  <c r="U30" i="10"/>
  <c r="U31" i="10" s="1"/>
  <c r="W30" i="10"/>
  <c r="W31" i="10" s="1"/>
  <c r="V30" i="10"/>
  <c r="V31" i="10" s="1"/>
  <c r="Y29" i="10"/>
  <c r="X30" i="10"/>
  <c r="X31" i="10" s="1"/>
  <c r="T30" i="10"/>
  <c r="T31" i="10" s="1"/>
  <c r="R33" i="6"/>
  <c r="U32" i="6"/>
  <c r="S32" i="6"/>
  <c r="T32" i="6"/>
  <c r="X31" i="6"/>
  <c r="W32" i="6"/>
  <c r="V32" i="6"/>
  <c r="U37" i="10"/>
  <c r="V37" i="10"/>
  <c r="V25" i="10"/>
  <c r="X37" i="10"/>
  <c r="X25" i="10"/>
  <c r="X41" i="10"/>
  <c r="S37" i="10"/>
  <c r="S41" i="10"/>
  <c r="S25" i="10"/>
  <c r="R37" i="10"/>
  <c r="R41" i="10"/>
  <c r="R25" i="10"/>
  <c r="W37" i="10"/>
  <c r="Y37" i="10"/>
  <c r="T37" i="10"/>
  <c r="A93" i="10"/>
  <c r="A94" i="10" s="1"/>
  <c r="A95" i="10" s="1"/>
  <c r="A96" i="10" s="1"/>
  <c r="A97" i="10" s="1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BA50" i="10"/>
  <c r="AZ50" i="10"/>
  <c r="AY50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AA46" i="10"/>
  <c r="Z46" i="10"/>
  <c r="Y46" i="10"/>
  <c r="X46" i="10"/>
  <c r="W46" i="10"/>
  <c r="U46" i="10"/>
  <c r="T46" i="10"/>
  <c r="S46" i="10"/>
  <c r="R46" i="10"/>
  <c r="Q46" i="10"/>
  <c r="P46" i="10"/>
  <c r="O46" i="10"/>
  <c r="N46" i="10"/>
  <c r="M46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C6" i="10"/>
  <c r="N89" i="8"/>
  <c r="N90" i="8" s="1"/>
  <c r="N91" i="8" s="1"/>
  <c r="N92" i="8" s="1"/>
  <c r="N93" i="8" s="1"/>
  <c r="N94" i="8" s="1"/>
  <c r="N95" i="8" s="1"/>
  <c r="N96" i="8" s="1"/>
  <c r="N97" i="8" s="1"/>
  <c r="N98" i="8" s="1"/>
  <c r="B78" i="8"/>
  <c r="B79" i="8" s="1"/>
  <c r="B80" i="8" s="1"/>
  <c r="B81" i="8" s="1"/>
  <c r="B82" i="8" s="1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C38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M37" i="8"/>
  <c r="L37" i="8"/>
  <c r="K37" i="8"/>
  <c r="J37" i="8"/>
  <c r="I37" i="8"/>
  <c r="H37" i="8"/>
  <c r="G37" i="8"/>
  <c r="F37" i="8"/>
  <c r="E37" i="8"/>
  <c r="D37" i="8"/>
  <c r="C37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M36" i="8"/>
  <c r="L36" i="8"/>
  <c r="K36" i="8"/>
  <c r="J36" i="8"/>
  <c r="I36" i="8"/>
  <c r="H36" i="8"/>
  <c r="G36" i="8"/>
  <c r="F36" i="8"/>
  <c r="E36" i="8"/>
  <c r="D36" i="8"/>
  <c r="C36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AB12" i="8"/>
  <c r="AA12" i="8"/>
  <c r="Z12" i="8"/>
  <c r="Y12" i="8"/>
  <c r="X12" i="8"/>
  <c r="W12" i="8"/>
  <c r="V12" i="8"/>
  <c r="U12" i="8"/>
  <c r="T12" i="8"/>
  <c r="R12" i="8"/>
  <c r="Q12" i="8"/>
  <c r="O12" i="8"/>
  <c r="N12" i="8"/>
  <c r="AB11" i="8"/>
  <c r="AA11" i="8"/>
  <c r="Z11" i="8"/>
  <c r="Y11" i="8"/>
  <c r="X11" i="8"/>
  <c r="W11" i="8"/>
  <c r="V11" i="8"/>
  <c r="U11" i="8"/>
  <c r="T11" i="8"/>
  <c r="R11" i="8"/>
  <c r="Q11" i="8"/>
  <c r="O11" i="8"/>
  <c r="N11" i="8"/>
  <c r="AB10" i="8"/>
  <c r="AA10" i="8"/>
  <c r="Z10" i="8"/>
  <c r="Y10" i="8"/>
  <c r="X10" i="8"/>
  <c r="W10" i="8"/>
  <c r="V10" i="8"/>
  <c r="U10" i="8"/>
  <c r="T10" i="8"/>
  <c r="R10" i="8"/>
  <c r="Q10" i="8"/>
  <c r="O10" i="8"/>
  <c r="N10" i="8"/>
  <c r="AB9" i="8"/>
  <c r="AA9" i="8"/>
  <c r="Z9" i="8"/>
  <c r="Y9" i="8"/>
  <c r="X9" i="8"/>
  <c r="W9" i="8"/>
  <c r="V9" i="8"/>
  <c r="U9" i="8"/>
  <c r="T9" i="8"/>
  <c r="R9" i="8"/>
  <c r="Q9" i="8"/>
  <c r="O9" i="8"/>
  <c r="N9" i="8"/>
  <c r="AB8" i="8"/>
  <c r="AA8" i="8"/>
  <c r="Z8" i="8"/>
  <c r="Y8" i="8"/>
  <c r="X8" i="8"/>
  <c r="W8" i="8"/>
  <c r="V8" i="8"/>
  <c r="U8" i="8"/>
  <c r="T8" i="8"/>
  <c r="R8" i="8"/>
  <c r="Q8" i="8"/>
  <c r="O8" i="8"/>
  <c r="N8" i="8"/>
  <c r="D7" i="8"/>
  <c r="A99" i="6"/>
  <c r="A100" i="6" s="1"/>
  <c r="A101" i="6" s="1"/>
  <c r="A102" i="6" s="1"/>
  <c r="A103" i="6" s="1"/>
  <c r="C61" i="6"/>
  <c r="C60" i="6"/>
  <c r="C59" i="6"/>
  <c r="C58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G56" i="6"/>
  <c r="O88" i="4"/>
  <c r="O89" i="4" s="1"/>
  <c r="O90" i="4" s="1"/>
  <c r="O91" i="4" s="1"/>
  <c r="O92" i="4" s="1"/>
  <c r="O93" i="4" s="1"/>
  <c r="O94" i="4" s="1"/>
  <c r="O95" i="4" s="1"/>
  <c r="O96" i="4" s="1"/>
  <c r="O87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N41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N28" i="4"/>
  <c r="N29" i="4"/>
  <c r="N30" i="4"/>
  <c r="N31" i="4"/>
  <c r="N27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N5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N13" i="4"/>
  <c r="N14" i="4"/>
  <c r="N15" i="4"/>
  <c r="N16" i="4"/>
  <c r="N17" i="4"/>
  <c r="N12" i="4"/>
  <c r="D4" i="4"/>
  <c r="C34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C35" i="4"/>
  <c r="C36" i="4"/>
  <c r="C37" i="4"/>
  <c r="C38" i="4"/>
  <c r="AC33" i="4"/>
  <c r="B76" i="4"/>
  <c r="B77" i="4" s="1"/>
  <c r="B78" i="4" s="1"/>
  <c r="B79" i="4" s="1"/>
  <c r="B80" i="4" s="1"/>
  <c r="BA43" i="7" l="1"/>
  <c r="CI29" i="7" s="1"/>
  <c r="AW47" i="7"/>
  <c r="CE31" i="7" s="1"/>
  <c r="AX47" i="7"/>
  <c r="CF31" i="7" s="1"/>
  <c r="AY33" i="7"/>
  <c r="CG30" i="7" s="1"/>
  <c r="T47" i="7"/>
  <c r="S37" i="5"/>
  <c r="AX37" i="5" s="1"/>
  <c r="CF28" i="5" s="1"/>
  <c r="S27" i="5"/>
  <c r="AX27" i="5" s="1"/>
  <c r="CF27" i="5" s="1"/>
  <c r="S47" i="5"/>
  <c r="AX47" i="5" s="1"/>
  <c r="CF31" i="5" s="1"/>
  <c r="D60" i="6"/>
  <c r="AH60" i="6"/>
  <c r="D58" i="6"/>
  <c r="AH58" i="6"/>
  <c r="D59" i="6"/>
  <c r="AH59" i="6"/>
  <c r="D61" i="6"/>
  <c r="AH61" i="6"/>
  <c r="U41" i="10"/>
  <c r="W25" i="10"/>
  <c r="W41" i="10"/>
  <c r="U25" i="10"/>
  <c r="V31" i="7"/>
  <c r="U32" i="7"/>
  <c r="Y43" i="7"/>
  <c r="Z43" i="7"/>
  <c r="U31" i="5"/>
  <c r="T32" i="5"/>
  <c r="T33" i="5" s="1"/>
  <c r="AY33" i="5" s="1"/>
  <c r="CG30" i="5" s="1"/>
  <c r="S43" i="5"/>
  <c r="AX43" i="5" s="1"/>
  <c r="CF29" i="5" s="1"/>
  <c r="U41" i="5"/>
  <c r="T42" i="5"/>
  <c r="T41" i="10"/>
  <c r="V41" i="10"/>
  <c r="T25" i="10"/>
  <c r="Z29" i="10"/>
  <c r="Z30" i="10" s="1"/>
  <c r="Y30" i="10"/>
  <c r="W33" i="6"/>
  <c r="Y31" i="6"/>
  <c r="X32" i="6"/>
  <c r="T33" i="6"/>
  <c r="S33" i="6"/>
  <c r="V33" i="6"/>
  <c r="U33" i="6"/>
  <c r="BA25" i="10"/>
  <c r="BA31" i="10"/>
  <c r="AQ37" i="10"/>
  <c r="BD43" i="7" l="1"/>
  <c r="CL29" i="7" s="1"/>
  <c r="BE43" i="7"/>
  <c r="CM29" i="7" s="1"/>
  <c r="AY47" i="7"/>
  <c r="CG31" i="7" s="1"/>
  <c r="T27" i="5"/>
  <c r="AY27" i="5" s="1"/>
  <c r="CG27" i="5" s="1"/>
  <c r="T47" i="5"/>
  <c r="AY47" i="5" s="1"/>
  <c r="CG31" i="5" s="1"/>
  <c r="T37" i="5"/>
  <c r="AY37" i="5" s="1"/>
  <c r="CG28" i="5" s="1"/>
  <c r="E59" i="6"/>
  <c r="AI59" i="6"/>
  <c r="E61" i="6"/>
  <c r="AI61" i="6"/>
  <c r="AH56" i="6"/>
  <c r="E58" i="6"/>
  <c r="AI58" i="6"/>
  <c r="AI56" i="6" s="1"/>
  <c r="E60" i="6"/>
  <c r="AI60" i="6"/>
  <c r="W31" i="7"/>
  <c r="V32" i="7"/>
  <c r="U33" i="7"/>
  <c r="CH28" i="7"/>
  <c r="U47" i="7"/>
  <c r="T43" i="5"/>
  <c r="AY43" i="5" s="1"/>
  <c r="CG29" i="5" s="1"/>
  <c r="V41" i="5"/>
  <c r="U42" i="5"/>
  <c r="V31" i="5"/>
  <c r="U32" i="5"/>
  <c r="U33" i="5" s="1"/>
  <c r="AZ33" i="5" s="1"/>
  <c r="CH30" i="5" s="1"/>
  <c r="Y31" i="10"/>
  <c r="Y25" i="10"/>
  <c r="Y41" i="10"/>
  <c r="Z31" i="10"/>
  <c r="Z25" i="10"/>
  <c r="Z41" i="10"/>
  <c r="R42" i="6"/>
  <c r="Z31" i="6"/>
  <c r="Z32" i="6" s="1"/>
  <c r="Y32" i="6"/>
  <c r="X33" i="6"/>
  <c r="BA41" i="10"/>
  <c r="AR37" i="10"/>
  <c r="AR25" i="10"/>
  <c r="AS37" i="10"/>
  <c r="AZ47" i="7" l="1"/>
  <c r="CH31" i="7" s="1"/>
  <c r="AZ33" i="7"/>
  <c r="CH30" i="7" s="1"/>
  <c r="U47" i="5"/>
  <c r="AZ47" i="5" s="1"/>
  <c r="CH31" i="5" s="1"/>
  <c r="U37" i="5"/>
  <c r="AZ37" i="5" s="1"/>
  <c r="CH28" i="5" s="1"/>
  <c r="U27" i="5"/>
  <c r="AZ27" i="5" s="1"/>
  <c r="CH27" i="5" s="1"/>
  <c r="F60" i="6"/>
  <c r="AK60" i="6" s="1"/>
  <c r="AJ60" i="6"/>
  <c r="F61" i="6"/>
  <c r="AK61" i="6" s="1"/>
  <c r="AJ61" i="6"/>
  <c r="F58" i="6"/>
  <c r="AK58" i="6" s="1"/>
  <c r="AJ58" i="6"/>
  <c r="F59" i="6"/>
  <c r="AK59" i="6" s="1"/>
  <c r="AJ59" i="6"/>
  <c r="R37" i="6"/>
  <c r="R27" i="6"/>
  <c r="V33" i="7"/>
  <c r="CI28" i="7"/>
  <c r="V47" i="7"/>
  <c r="X31" i="7"/>
  <c r="W32" i="7"/>
  <c r="W31" i="5"/>
  <c r="V32" i="5"/>
  <c r="V33" i="5" s="1"/>
  <c r="BA33" i="5" s="1"/>
  <c r="CI30" i="5" s="1"/>
  <c r="U43" i="5"/>
  <c r="AZ43" i="5" s="1"/>
  <c r="CH29" i="5" s="1"/>
  <c r="W41" i="5"/>
  <c r="V42" i="5"/>
  <c r="R47" i="6"/>
  <c r="S42" i="6"/>
  <c r="S37" i="6" s="1"/>
  <c r="R43" i="6"/>
  <c r="Y33" i="6"/>
  <c r="Z33" i="6"/>
  <c r="AR31" i="10"/>
  <c r="AT37" i="10"/>
  <c r="AS31" i="10"/>
  <c r="AS25" i="10"/>
  <c r="BA47" i="7" l="1"/>
  <c r="CI31" i="7" s="1"/>
  <c r="BA33" i="7"/>
  <c r="CI30" i="7" s="1"/>
  <c r="V37" i="5"/>
  <c r="BA37" i="5" s="1"/>
  <c r="CI28" i="5" s="1"/>
  <c r="V47" i="5"/>
  <c r="BA47" i="5" s="1"/>
  <c r="CI31" i="5" s="1"/>
  <c r="V27" i="5"/>
  <c r="BA27" i="5" s="1"/>
  <c r="CI27" i="5" s="1"/>
  <c r="AJ56" i="6"/>
  <c r="AK56" i="6"/>
  <c r="W33" i="7"/>
  <c r="CJ28" i="7"/>
  <c r="W47" i="7"/>
  <c r="Y31" i="7"/>
  <c r="X32" i="7"/>
  <c r="V43" i="5"/>
  <c r="BA43" i="5" s="1"/>
  <c r="CI29" i="5" s="1"/>
  <c r="X31" i="5"/>
  <c r="W32" i="5"/>
  <c r="W33" i="5" s="1"/>
  <c r="BB33" i="5" s="1"/>
  <c r="CJ30" i="5" s="1"/>
  <c r="X41" i="5"/>
  <c r="W42" i="5"/>
  <c r="S47" i="6"/>
  <c r="S27" i="6"/>
  <c r="S43" i="6"/>
  <c r="T42" i="6"/>
  <c r="T37" i="6" s="1"/>
  <c r="AS41" i="10"/>
  <c r="AR41" i="10"/>
  <c r="AT31" i="10"/>
  <c r="AT25" i="10"/>
  <c r="AU37" i="10"/>
  <c r="BB47" i="7" l="1"/>
  <c r="CJ31" i="7" s="1"/>
  <c r="BB33" i="7"/>
  <c r="CJ30" i="7" s="1"/>
  <c r="W37" i="5"/>
  <c r="BB37" i="5" s="1"/>
  <c r="CJ28" i="5" s="1"/>
  <c r="W27" i="5"/>
  <c r="BB27" i="5" s="1"/>
  <c r="CJ27" i="5" s="1"/>
  <c r="W47" i="5"/>
  <c r="BB47" i="5" s="1"/>
  <c r="CJ31" i="5" s="1"/>
  <c r="X33" i="7"/>
  <c r="CK28" i="7"/>
  <c r="X47" i="7"/>
  <c r="Z31" i="7"/>
  <c r="Z32" i="7" s="1"/>
  <c r="Y32" i="7"/>
  <c r="Y41" i="5"/>
  <c r="X42" i="5"/>
  <c r="W43" i="5"/>
  <c r="BB43" i="5" s="1"/>
  <c r="CJ29" i="5" s="1"/>
  <c r="Y31" i="5"/>
  <c r="X32" i="5"/>
  <c r="X33" i="5" s="1"/>
  <c r="BC33" i="5" s="1"/>
  <c r="CK30" i="5" s="1"/>
  <c r="T47" i="6"/>
  <c r="T27" i="6"/>
  <c r="U42" i="6"/>
  <c r="U37" i="6" s="1"/>
  <c r="T43" i="6"/>
  <c r="AT41" i="10"/>
  <c r="AV37" i="10"/>
  <c r="AU25" i="10"/>
  <c r="AU31" i="10"/>
  <c r="BC33" i="7" l="1"/>
  <c r="CK30" i="7" s="1"/>
  <c r="BC47" i="7"/>
  <c r="CK31" i="7" s="1"/>
  <c r="X37" i="5"/>
  <c r="BC37" i="5" s="1"/>
  <c r="CK28" i="5" s="1"/>
  <c r="X27" i="5"/>
  <c r="BC27" i="5" s="1"/>
  <c r="CK27" i="5" s="1"/>
  <c r="X47" i="5"/>
  <c r="BC47" i="5" s="1"/>
  <c r="CK31" i="5" s="1"/>
  <c r="Y33" i="7"/>
  <c r="Y47" i="7"/>
  <c r="CL28" i="7"/>
  <c r="Z33" i="7"/>
  <c r="CM28" i="7"/>
  <c r="Z47" i="7"/>
  <c r="Z41" i="5"/>
  <c r="Z42" i="5" s="1"/>
  <c r="Y42" i="5"/>
  <c r="Z31" i="5"/>
  <c r="Z32" i="5" s="1"/>
  <c r="Z33" i="5" s="1"/>
  <c r="BE33" i="5" s="1"/>
  <c r="CM30" i="5" s="1"/>
  <c r="Y32" i="5"/>
  <c r="Y33" i="5" s="1"/>
  <c r="BD33" i="5" s="1"/>
  <c r="CL30" i="5" s="1"/>
  <c r="X43" i="5"/>
  <c r="BC43" i="5" s="1"/>
  <c r="CK29" i="5" s="1"/>
  <c r="U27" i="6"/>
  <c r="U47" i="6"/>
  <c r="U43" i="6"/>
  <c r="V42" i="6"/>
  <c r="V37" i="6" s="1"/>
  <c r="AU41" i="10"/>
  <c r="AV31" i="10"/>
  <c r="AV25" i="10"/>
  <c r="AW37" i="10"/>
  <c r="BD33" i="7" l="1"/>
  <c r="CL30" i="7" s="1"/>
  <c r="BE47" i="7"/>
  <c r="CM31" i="7" s="1"/>
  <c r="BE33" i="7"/>
  <c r="CM30" i="7" s="1"/>
  <c r="BD47" i="7"/>
  <c r="CL31" i="7" s="1"/>
  <c r="Y37" i="5"/>
  <c r="BD37" i="5" s="1"/>
  <c r="CL28" i="5" s="1"/>
  <c r="Y47" i="5"/>
  <c r="BD47" i="5" s="1"/>
  <c r="CL31" i="5" s="1"/>
  <c r="Y27" i="5"/>
  <c r="BD27" i="5" s="1"/>
  <c r="CL27" i="5" s="1"/>
  <c r="Z47" i="5"/>
  <c r="BE47" i="5" s="1"/>
  <c r="CM31" i="5" s="1"/>
  <c r="Z27" i="5"/>
  <c r="BE27" i="5" s="1"/>
  <c r="CM27" i="5" s="1"/>
  <c r="Z37" i="5"/>
  <c r="BE37" i="5" s="1"/>
  <c r="CM28" i="5" s="1"/>
  <c r="Y43" i="5"/>
  <c r="BD43" i="5" s="1"/>
  <c r="CL29" i="5" s="1"/>
  <c r="Z43" i="5"/>
  <c r="BE43" i="5" s="1"/>
  <c r="CM29" i="5" s="1"/>
  <c r="V47" i="6"/>
  <c r="V27" i="6"/>
  <c r="V43" i="6"/>
  <c r="W42" i="6"/>
  <c r="W37" i="6" s="1"/>
  <c r="AV41" i="10"/>
  <c r="AX37" i="10"/>
  <c r="AW31" i="10"/>
  <c r="AW25" i="10"/>
  <c r="W47" i="6" l="1"/>
  <c r="W27" i="6"/>
  <c r="W43" i="6"/>
  <c r="X42" i="6"/>
  <c r="X37" i="6" s="1"/>
  <c r="AW41" i="10"/>
  <c r="AY37" i="10"/>
  <c r="AX31" i="10"/>
  <c r="AX25" i="10"/>
  <c r="X27" i="6" l="1"/>
  <c r="X47" i="6"/>
  <c r="X43" i="6"/>
  <c r="Z42" i="6"/>
  <c r="Z37" i="6" s="1"/>
  <c r="Y42" i="6"/>
  <c r="Y37" i="6" s="1"/>
  <c r="AX41" i="10"/>
  <c r="AZ37" i="10"/>
  <c r="AY25" i="10"/>
  <c r="AY31" i="10"/>
  <c r="Y27" i="6" l="1"/>
  <c r="Y47" i="6"/>
  <c r="Z47" i="6"/>
  <c r="Z27" i="6"/>
  <c r="Y43" i="6"/>
  <c r="Z43" i="6"/>
  <c r="AY41" i="10"/>
  <c r="AZ31" i="10"/>
  <c r="AZ25" i="10"/>
  <c r="AZ41" i="10" l="1"/>
  <c r="AB47" i="6"/>
  <c r="K16" i="5"/>
  <c r="J21" i="5"/>
  <c r="K20" i="5"/>
  <c r="K19" i="5"/>
  <c r="I21" i="5"/>
  <c r="K21" i="5"/>
  <c r="I20" i="5"/>
  <c r="J18" i="5"/>
  <c r="J20" i="5"/>
  <c r="H20" i="5"/>
  <c r="I16" i="5"/>
  <c r="J12" i="5"/>
  <c r="H10" i="5"/>
  <c r="K18" i="5"/>
  <c r="K13" i="5"/>
  <c r="H11" i="5"/>
  <c r="I18" i="5"/>
  <c r="K12" i="5"/>
  <c r="J13" i="5"/>
  <c r="J19" i="5"/>
  <c r="J10" i="5"/>
  <c r="I19" i="5"/>
  <c r="I12" i="5"/>
  <c r="H18" i="5"/>
  <c r="H12" i="5"/>
  <c r="I10" i="5"/>
  <c r="J17" i="5"/>
  <c r="K10" i="5"/>
  <c r="I11" i="5"/>
  <c r="H19" i="5"/>
  <c r="H16" i="5"/>
  <c r="K11" i="5"/>
  <c r="J9" i="5"/>
  <c r="H21" i="5"/>
  <c r="H17" i="5"/>
  <c r="K17" i="5"/>
  <c r="H9" i="5"/>
  <c r="I17" i="5"/>
  <c r="K9" i="5"/>
  <c r="H13" i="5"/>
  <c r="J11" i="5"/>
  <c r="I9" i="5"/>
  <c r="I13" i="5"/>
  <c r="J16" i="5"/>
  <c r="M23" i="5"/>
  <c r="M39" i="5" l="1"/>
  <c r="M43" i="5" s="1"/>
  <c r="AR43" i="5" s="1"/>
  <c r="BZ29" i="5" s="1"/>
  <c r="M72" i="5"/>
  <c r="M25" i="5"/>
  <c r="M27" i="5" s="1"/>
  <c r="AR27" i="5" s="1"/>
  <c r="BZ27" i="5" s="1"/>
  <c r="N23" i="5"/>
  <c r="N72" i="5" s="1"/>
  <c r="M35" i="5"/>
  <c r="M37" i="5" s="1"/>
  <c r="AR37" i="5" s="1"/>
  <c r="BZ28" i="5" s="1"/>
  <c r="M45" i="5"/>
  <c r="M47" i="5" s="1"/>
  <c r="AR47" i="5" s="1"/>
  <c r="BZ31" i="5" s="1"/>
  <c r="M29" i="5"/>
  <c r="M33" i="5" s="1"/>
  <c r="AR33" i="5" s="1"/>
  <c r="BZ30" i="5" s="1"/>
  <c r="N29" i="5" l="1"/>
  <c r="N33" i="5" s="1"/>
  <c r="AS33" i="5" s="1"/>
  <c r="CA30" i="5" s="1"/>
  <c r="N45" i="5"/>
  <c r="N47" i="5" s="1"/>
  <c r="AS47" i="5" s="1"/>
  <c r="CA31" i="5" s="1"/>
  <c r="N25" i="5"/>
  <c r="N27" i="5" s="1"/>
  <c r="AS27" i="5" s="1"/>
  <c r="CA27" i="5" s="1"/>
  <c r="N35" i="5"/>
  <c r="N37" i="5" s="1"/>
  <c r="AS37" i="5" s="1"/>
  <c r="CA28" i="5" s="1"/>
  <c r="O23" i="5"/>
  <c r="N39" i="5"/>
  <c r="N43" i="5" s="1"/>
  <c r="AS43" i="5" s="1"/>
  <c r="CA29" i="5" s="1"/>
  <c r="P23" i="5" l="1"/>
  <c r="P72" i="5" s="1"/>
  <c r="O72" i="5"/>
  <c r="O29" i="5"/>
  <c r="O33" i="5" s="1"/>
  <c r="AT33" i="5" s="1"/>
  <c r="CB30" i="5" s="1"/>
  <c r="O35" i="5"/>
  <c r="O37" i="5" s="1"/>
  <c r="AT37" i="5" s="1"/>
  <c r="CB28" i="5" s="1"/>
  <c r="O25" i="5"/>
  <c r="O27" i="5" s="1"/>
  <c r="AT27" i="5" s="1"/>
  <c r="CB27" i="5" s="1"/>
  <c r="O39" i="5"/>
  <c r="O43" i="5" s="1"/>
  <c r="AT43" i="5" s="1"/>
  <c r="CB29" i="5" s="1"/>
  <c r="O45" i="5"/>
  <c r="O47" i="5" s="1"/>
  <c r="AT47" i="5" s="1"/>
  <c r="CB31" i="5" s="1"/>
  <c r="P29" i="5" l="1"/>
  <c r="P33" i="5" s="1"/>
  <c r="AU33" i="5" s="1"/>
  <c r="CC30" i="5" s="1"/>
  <c r="P45" i="5"/>
  <c r="P47" i="5" s="1"/>
  <c r="AU47" i="5" s="1"/>
  <c r="CC31" i="5" s="1"/>
  <c r="P25" i="5"/>
  <c r="P27" i="5" s="1"/>
  <c r="AU27" i="5" s="1"/>
  <c r="CC27" i="5" s="1"/>
  <c r="P39" i="5"/>
  <c r="P43" i="5" s="1"/>
  <c r="AU43" i="5" s="1"/>
  <c r="CC29" i="5" s="1"/>
  <c r="P35" i="5"/>
  <c r="P37" i="5" s="1"/>
  <c r="AU37" i="5" s="1"/>
  <c r="CC28" i="5" s="1"/>
  <c r="AD37" i="5"/>
  <c r="AE37" i="5"/>
  <c r="AF37" i="5"/>
  <c r="AB37" i="5"/>
  <c r="AC37" i="5"/>
  <c r="AD47" i="7"/>
  <c r="AE47" i="7"/>
  <c r="AC47" i="7"/>
  <c r="AF47" i="7"/>
  <c r="AB4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Gianluca Pellecchia</author>
  </authors>
  <commentList>
    <comment ref="B173" authorId="0" shapeId="0" xr:uid="{9200D2AC-CFF1-4F1E-93CA-323B5844026C}">
      <text>
        <r>
          <rPr>
            <b/>
            <sz val="9"/>
            <color indexed="81"/>
            <rFont val="Tahoma"/>
            <family val="2"/>
          </rPr>
          <t>Gianluca Pellecchia:</t>
        </r>
        <r>
          <rPr>
            <sz val="9"/>
            <color indexed="81"/>
            <rFont val="Tahoma"/>
            <family val="2"/>
          </rPr>
          <t xml:space="preserve">
non ho trovato il valore giusto quindi per il momento riprendo per tutti gli anni il valore del 2019
</t>
        </r>
      </text>
    </comment>
  </commentList>
</comments>
</file>

<file path=xl/sharedStrings.xml><?xml version="1.0" encoding="utf-8"?>
<sst xmlns="http://schemas.openxmlformats.org/spreadsheetml/2006/main" count="1642" uniqueCount="162">
  <si>
    <t>Fonte:</t>
  </si>
  <si>
    <t>20009857.pdf (rse-web.it)</t>
  </si>
  <si>
    <t>RSE, 2020 - Studi a supporto della profonda 
decarbonizzazione del sistema energetico 
nazionale</t>
  </si>
  <si>
    <t>Link:</t>
  </si>
  <si>
    <t>Residential</t>
  </si>
  <si>
    <t>Industry</t>
  </si>
  <si>
    <t>Transport</t>
  </si>
  <si>
    <t>Services and agriculture</t>
  </si>
  <si>
    <t>Basecase scenario (Mtep)</t>
  </si>
  <si>
    <t>Gas</t>
  </si>
  <si>
    <t>Petroliferi</t>
  </si>
  <si>
    <t>Elettricità</t>
  </si>
  <si>
    <t>Calore cogenerativo</t>
  </si>
  <si>
    <t>Rinnovabili</t>
  </si>
  <si>
    <t>Solidi</t>
  </si>
  <si>
    <t>Metano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</si>
  <si>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</si>
  <si>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</si>
  <si>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</si>
  <si>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</si>
  <si>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</si>
  <si>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</si>
  <si>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</si>
  <si>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</si>
  <si>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</si>
  <si>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</si>
  <si>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</si>
  <si>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r>
      <t xml:space="preserve">Nota: i dati ottenuti dalla fonte sono in </t>
    </r>
    <r>
      <rPr>
        <b/>
        <sz val="11"/>
        <color theme="1"/>
        <rFont val="Calibri"/>
        <family val="2"/>
        <scheme val="minor"/>
      </rPr>
      <t>grassetto</t>
    </r>
    <r>
      <rPr>
        <sz val="11"/>
        <color theme="1"/>
        <rFont val="Calibri"/>
        <family val="2"/>
        <scheme val="minor"/>
      </rPr>
      <t>, i dati stimati sono in testo normale</t>
    </r>
  </si>
  <si>
    <t xml:space="preserve">Gas </t>
  </si>
  <si>
    <t>Electricity</t>
  </si>
  <si>
    <t>Oil products</t>
  </si>
  <si>
    <t>Services</t>
  </si>
  <si>
    <t>Primary</t>
  </si>
  <si>
    <t>Fonte 2020: Eurostat, 2020 - Energy balance</t>
  </si>
  <si>
    <t>Fonte 2030: RSE, 2020 - Studi a supporto della profonda 
decarbonizzazione del sistema energetico 
nazionale, p. 25</t>
  </si>
  <si>
    <t>Fonte share: stesso share del settore services and agriculture dato al 2020 da RSE, 2020 ibidem</t>
  </si>
  <si>
    <t>Fonte share: share rimane costante dal 2020 in avanti (come suggerito da RSE, 2017, p.84)</t>
  </si>
  <si>
    <t>2031</t>
  </si>
  <si>
    <t>2020%</t>
  </si>
  <si>
    <t>2030%</t>
  </si>
  <si>
    <t>2021%</t>
  </si>
  <si>
    <t>2022%</t>
  </si>
  <si>
    <t>2023%</t>
  </si>
  <si>
    <t>2024%</t>
  </si>
  <si>
    <t>2025%</t>
  </si>
  <si>
    <t>2026%</t>
  </si>
  <si>
    <t>2027%</t>
  </si>
  <si>
    <t>2028%</t>
  </si>
  <si>
    <t>2029%</t>
  </si>
  <si>
    <t>Fonte 2020 e 2030: RSE, 2020 - Studi a supporto della profonda 
decarbonizzazione del sistema energetico 
nazionale, p. 25</t>
  </si>
  <si>
    <t>Basecase scenario (GWh)</t>
  </si>
  <si>
    <t>1 Mtep = 11630 GWh</t>
  </si>
  <si>
    <t>PNIEC + Green Deal scenario (GWh)</t>
  </si>
  <si>
    <t>Export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</si>
  <si>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</si>
  <si>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</si>
  <si>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</si>
  <si>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</si>
  <si>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</si>
  <si>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</si>
  <si>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</si>
  <si>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</si>
  <si>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</si>
  <si>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Anno</t>
  </si>
  <si>
    <t>Export_mix</t>
  </si>
  <si>
    <t>Primary_mix</t>
  </si>
  <si>
    <t>Transport_mix</t>
  </si>
  <si>
    <t>Industrial_mix</t>
  </si>
  <si>
    <t>Residential_mix</t>
  </si>
  <si>
    <t>Services_mix</t>
  </si>
  <si>
    <t>Final_electricity</t>
  </si>
  <si>
    <t>Biofuels_waste</t>
  </si>
  <si>
    <t>Oil_products</t>
  </si>
  <si>
    <t>Solid_fossil_fuels</t>
  </si>
  <si>
    <t>NG</t>
  </si>
  <si>
    <t xml:space="preserve">Liquid_biofuels </t>
  </si>
  <si>
    <t>Hydrogen</t>
  </si>
  <si>
    <t>Heat</t>
  </si>
  <si>
    <t>PNIEC</t>
  </si>
  <si>
    <t xml:space="preserve">Basecase scenario </t>
  </si>
  <si>
    <t>Prodotti petroliferi (without blended)</t>
  </si>
  <si>
    <t>HVO fraction in blended biofuels</t>
  </si>
  <si>
    <t>Total energy demand:</t>
  </si>
  <si>
    <t>Combustibili green (blended biofuels)</t>
  </si>
  <si>
    <t>Idrogeno</t>
  </si>
  <si>
    <t>2041</t>
  </si>
  <si>
    <t>2042</t>
  </si>
  <si>
    <t>2043</t>
  </si>
  <si>
    <t>2044</t>
  </si>
  <si>
    <t>2045</t>
  </si>
  <si>
    <t>2031%</t>
  </si>
  <si>
    <t>2032%</t>
  </si>
  <si>
    <t>2033%</t>
  </si>
  <si>
    <t>2034%</t>
  </si>
  <si>
    <t>2035%</t>
  </si>
  <si>
    <t>2036%</t>
  </si>
  <si>
    <t>2037%</t>
  </si>
  <si>
    <t>2038%</t>
  </si>
  <si>
    <t>2039%</t>
  </si>
  <si>
    <t>2040%</t>
  </si>
  <si>
    <t>2041%</t>
  </si>
  <si>
    <t>2042%</t>
  </si>
  <si>
    <t>2043%</t>
  </si>
  <si>
    <t>2044%</t>
  </si>
  <si>
    <t>2045%</t>
  </si>
  <si>
    <t>interpolazione lineare tra 2020 e 2025 e 2025 e 2030</t>
  </si>
  <si>
    <t>interpolazione lineare tra 2030 e 2040 mantenendo il trend tra 2025 e 2030</t>
  </si>
  <si>
    <t>fino al 2045 constante</t>
  </si>
  <si>
    <t>da ridistribuire</t>
  </si>
  <si>
    <t>Elettricità with ban</t>
  </si>
  <si>
    <t>Metano with ban</t>
  </si>
  <si>
    <t>Combustibili green (blended biofuels) with ban</t>
  </si>
  <si>
    <t>Idrogeno with ban</t>
  </si>
  <si>
    <t>%</t>
  </si>
  <si>
    <t>Prodotti petroliferi (without blended) with BAN</t>
  </si>
  <si>
    <t>quota parte interessata dal BAN</t>
  </si>
  <si>
    <t>andamento di tale quota parte dovuta al BAN</t>
  </si>
  <si>
    <t>Prodotti petroliferi (including HVO portion)</t>
  </si>
  <si>
    <t>2050</t>
  </si>
  <si>
    <t>2. Ampliamento dati da 2030 a 2050 e assenza biocombustibili</t>
  </si>
  <si>
    <t>la quota di biocombustibili del punto 1 viene assegnata ai prod. Petroliferi</t>
  </si>
  <si>
    <t>2. Ampliamento dati da 2030 a 2050 e assenza biocombustibili, e aggiunta BAN al 2035 (non utilizzato)</t>
  </si>
  <si>
    <t>2020: la quota di biocombustibili del punto 1 viene assegnata ai prod. Petroliferi</t>
  </si>
  <si>
    <t>2021 -2035: si tiene la quota di biocombustibili del punto 1</t>
  </si>
  <si>
    <t>2035 in avanti: scenari low / high /average share, dove si considera che i biocombustili siano completamente costitutiti da HVO da questa data</t>
  </si>
  <si>
    <t>NB: il Ban interessa solo una parte del settore trasporti: il 76.1% dei combustibili fossili (metano e prodotti petroliferi) (fonte: ISPRA 2019). Tale porzione verrà ridistribuita su altre fonti a seconda dello scenario</t>
  </si>
  <si>
    <t>2046</t>
  </si>
  <si>
    <t>2047</t>
  </si>
  <si>
    <t>2048</t>
  </si>
  <si>
    <t>2049</t>
  </si>
  <si>
    <t>interpolazione lineare del totale tra 2030 e 2040 mantenendo il trend tra 2025 e 2030, share constante tra carrier del settore</t>
  </si>
  <si>
    <t>interpolazione lineare del totale tra 2030 e 2040 mantenendo il trend tra 2025 e 2030, share constante tra carrier del settore (eccetto che per i trasporti)</t>
  </si>
  <si>
    <t>Fonte: Eurostat Energy balance (2022 Edition)</t>
  </si>
  <si>
    <t>Valori reali</t>
  </si>
  <si>
    <t>Valori modellati (solo con alcuni carrier)</t>
  </si>
  <si>
    <t>GWh</t>
  </si>
  <si>
    <t>total</t>
  </si>
  <si>
    <t xml:space="preserve">Primary </t>
  </si>
  <si>
    <t>RES</t>
  </si>
  <si>
    <t xml:space="preserve">Transport </t>
  </si>
  <si>
    <t>Biofuels</t>
  </si>
  <si>
    <t>Solid fuel</t>
  </si>
  <si>
    <t xml:space="preserve">Residential </t>
  </si>
  <si>
    <t xml:space="preserve">RES </t>
  </si>
  <si>
    <t>Service</t>
  </si>
  <si>
    <r>
      <rPr>
        <b/>
        <i/>
        <sz val="11"/>
        <color theme="1"/>
        <rFont val="Calibri"/>
        <family val="2"/>
        <scheme val="minor"/>
      </rPr>
      <t>FONTE:</t>
    </r>
    <r>
      <rPr>
        <sz val="11"/>
        <color theme="1"/>
        <rFont val="Calibri"/>
        <family val="2"/>
        <scheme val="minor"/>
      </rPr>
      <t xml:space="preserve"> UE Ref2020 demand data</t>
    </r>
  </si>
  <si>
    <t>ktoe</t>
  </si>
  <si>
    <r>
      <t xml:space="preserve">Tertiary </t>
    </r>
    <r>
      <rPr>
        <vertAlign val="superscript"/>
        <sz val="8"/>
        <rFont val="Arial"/>
        <family val="2"/>
        <charset val="161"/>
      </rPr>
      <t>(Service and Primary sector)</t>
    </r>
  </si>
  <si>
    <t>1 ktoe = 11.63 GWh</t>
  </si>
  <si>
    <t>PNIEC + GREEN DEAL</t>
  </si>
  <si>
    <t>BASECASE SCENARIO</t>
  </si>
  <si>
    <t>Step 1: Dati da RSE in Mtep</t>
  </si>
  <si>
    <t>Step 2: Divisione services and primary</t>
  </si>
  <si>
    <t>Step 3: Sostituzione dati 2020 con dati Eurostat</t>
  </si>
  <si>
    <t xml:space="preserve">Step 4: Estensione dati fino al 2050 </t>
  </si>
  <si>
    <t>Interpolazione lineare tra 2030 e 2040 mantenendo il trend tra 2025 e 2030, mantenendo costanti gli share nei settori</t>
  </si>
  <si>
    <t>Demand costante tra 2040 e 2050</t>
  </si>
  <si>
    <t>Step 5: Riorganizzazione risultati per Hypatia</t>
  </si>
  <si>
    <t>Share of Primary sector on total energy consumption of the Tertiary sector :</t>
  </si>
  <si>
    <t>PNIEC + GREEN DEAL Low share case</t>
  </si>
  <si>
    <t>PNIEC + GREEN DEAL Average share case</t>
  </si>
  <si>
    <t>PNIEC + GREEN DEAL High share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</si>
</sst>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General_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name val="Tahoma"/>
      <family val="2"/>
    </font>
    <font>
      <sz val="8"/>
      <name val="Tahoma"/>
      <family val="2"/>
      <charset val="161"/>
    </font>
    <font>
      <sz val="10"/>
      <name val="Courier"/>
      <family val="3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9"/>
      <name val="Calibri"/>
      <family val="2"/>
      <scheme val="minor"/>
    </font>
    <font>
      <vertAlign val="superscript"/>
      <sz val="8"/>
      <name val="Arial"/>
      <family val="2"/>
      <charset val="161"/>
    </font>
    <font>
      <sz val="2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4472C4"/>
      </top>
      <bottom/>
      <diagonal/>
    </border>
    <border>
      <left/>
      <right style="thin">
        <color theme="4"/>
      </right>
      <top style="thin">
        <color rgb="FF4472C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/>
      <bottom style="thin">
        <color theme="4" tint="0.59999389629810485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59999389629810485"/>
      </bottom>
      <diagonal/>
    </border>
    <border>
      <left style="thin">
        <color indexed="64"/>
      </left>
      <right/>
      <top style="thin">
        <color theme="4"/>
      </top>
      <bottom style="thin">
        <color theme="4" tint="0.59999389629810485"/>
      </bottom>
      <diagonal/>
    </border>
    <border>
      <left/>
      <right/>
      <top style="thin">
        <color theme="4"/>
      </top>
      <bottom style="thin">
        <color theme="4" tint="0.59999389629810485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indexed="64"/>
      </top>
      <bottom/>
      <diagonal/>
    </border>
    <border>
      <left/>
      <right style="thin">
        <color theme="4" tint="0.39997558519241921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14" fillId="0" borderId="0"/>
    <xf numFmtId="166" fontId="16" fillId="0" borderId="0"/>
  </cellStyleXfs>
  <cellXfs count="191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4" fillId="2" borderId="2" xfId="0" applyFont="1" applyFill="1" applyBorder="1"/>
    <xf numFmtId="0" fontId="0" fillId="0" borderId="2" xfId="0" applyBorder="1"/>
    <xf numFmtId="0" fontId="0" fillId="0" borderId="1" xfId="0" applyBorder="1"/>
    <xf numFmtId="2" fontId="3" fillId="0" borderId="0" xfId="0" applyNumberFormat="1" applyFont="1"/>
    <xf numFmtId="0" fontId="3" fillId="0" borderId="1" xfId="0" applyFont="1" applyBorder="1"/>
    <xf numFmtId="0" fontId="3" fillId="0" borderId="4" xfId="0" applyFont="1" applyBorder="1"/>
    <xf numFmtId="0" fontId="4" fillId="2" borderId="1" xfId="0" applyFont="1" applyFill="1" applyBorder="1"/>
    <xf numFmtId="0" fontId="4" fillId="3" borderId="5" xfId="0" applyFont="1" applyFill="1" applyBorder="1"/>
    <xf numFmtId="0" fontId="3" fillId="0" borderId="6" xfId="0" applyFont="1" applyBorder="1"/>
    <xf numFmtId="2" fontId="1" fillId="0" borderId="0" xfId="0" applyNumberFormat="1" applyFont="1"/>
    <xf numFmtId="0" fontId="1" fillId="0" borderId="1" xfId="0" applyFont="1" applyBorder="1"/>
    <xf numFmtId="2" fontId="0" fillId="0" borderId="5" xfId="0" applyNumberFormat="1" applyBorder="1"/>
    <xf numFmtId="2" fontId="0" fillId="0" borderId="7" xfId="0" applyNumberFormat="1" applyBorder="1"/>
    <xf numFmtId="9" fontId="0" fillId="0" borderId="0" xfId="0" applyNumberFormat="1"/>
    <xf numFmtId="0" fontId="4" fillId="2" borderId="0" xfId="0" applyFont="1" applyFill="1"/>
    <xf numFmtId="0" fontId="4" fillId="3" borderId="0" xfId="0" applyFont="1" applyFill="1"/>
    <xf numFmtId="9" fontId="4" fillId="2" borderId="2" xfId="0" applyNumberFormat="1" applyFont="1" applyFill="1" applyBorder="1"/>
    <xf numFmtId="9" fontId="4" fillId="2" borderId="3" xfId="0" applyNumberFormat="1" applyFont="1" applyFill="1" applyBorder="1"/>
    <xf numFmtId="2" fontId="3" fillId="0" borderId="5" xfId="0" applyNumberFormat="1" applyFont="1" applyBorder="1"/>
    <xf numFmtId="0" fontId="1" fillId="0" borderId="2" xfId="0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2" fontId="0" fillId="0" borderId="2" xfId="0" applyNumberFormat="1" applyBorder="1"/>
    <xf numFmtId="0" fontId="4" fillId="2" borderId="6" xfId="0" applyFont="1" applyFill="1" applyBorder="1"/>
    <xf numFmtId="9" fontId="4" fillId="2" borderId="0" xfId="0" applyNumberFormat="1" applyFont="1" applyFill="1"/>
    <xf numFmtId="9" fontId="4" fillId="2" borderId="9" xfId="0" applyNumberFormat="1" applyFont="1" applyFill="1" applyBorder="1"/>
    <xf numFmtId="2" fontId="1" fillId="0" borderId="2" xfId="0" applyNumberFormat="1" applyFont="1" applyBorder="1"/>
    <xf numFmtId="0" fontId="0" fillId="0" borderId="8" xfId="0" applyBorder="1"/>
    <xf numFmtId="0" fontId="5" fillId="0" borderId="10" xfId="0" applyFont="1" applyBorder="1" applyAlignment="1">
      <alignment horizontal="center" vertical="center"/>
    </xf>
    <xf numFmtId="2" fontId="0" fillId="0" borderId="0" xfId="0" applyNumberFormat="1" applyAlignment="1">
      <alignment horizontal="left"/>
    </xf>
    <xf numFmtId="0" fontId="9" fillId="4" borderId="0" xfId="0" applyFont="1" applyFill="1"/>
    <xf numFmtId="165" fontId="0" fillId="0" borderId="0" xfId="0" applyNumberFormat="1"/>
    <xf numFmtId="9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1" fillId="0" borderId="8" xfId="0" applyFont="1" applyBorder="1"/>
    <xf numFmtId="0" fontId="5" fillId="5" borderId="8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0" fontId="0" fillId="0" borderId="16" xfId="0" applyBorder="1"/>
    <xf numFmtId="0" fontId="0" fillId="0" borderId="15" xfId="0" applyBorder="1"/>
    <xf numFmtId="0" fontId="0" fillId="5" borderId="15" xfId="0" applyFill="1" applyBorder="1"/>
    <xf numFmtId="0" fontId="1" fillId="5" borderId="0" xfId="0" applyFont="1" applyFill="1"/>
    <xf numFmtId="0" fontId="0" fillId="5" borderId="0" xfId="0" applyFill="1"/>
    <xf numFmtId="0" fontId="0" fillId="5" borderId="16" xfId="0" applyFill="1" applyBorder="1"/>
    <xf numFmtId="0" fontId="0" fillId="5" borderId="17" xfId="0" applyFill="1" applyBorder="1"/>
    <xf numFmtId="0" fontId="1" fillId="5" borderId="18" xfId="0" applyFont="1" applyFill="1" applyBorder="1"/>
    <xf numFmtId="0" fontId="0" fillId="5" borderId="18" xfId="0" applyFill="1" applyBorder="1"/>
    <xf numFmtId="0" fontId="0" fillId="5" borderId="19" xfId="0" applyFill="1" applyBorder="1"/>
    <xf numFmtId="0" fontId="10" fillId="0" borderId="11" xfId="2"/>
    <xf numFmtId="2" fontId="3" fillId="0" borderId="23" xfId="0" applyNumberFormat="1" applyFont="1" applyBorder="1"/>
    <xf numFmtId="0" fontId="0" fillId="0" borderId="0" xfId="0" applyFont="1" applyBorder="1"/>
    <xf numFmtId="0" fontId="5" fillId="0" borderId="8" xfId="0" applyFont="1" applyBorder="1" applyAlignment="1">
      <alignment horizontal="center" vertical="center"/>
    </xf>
    <xf numFmtId="0" fontId="0" fillId="0" borderId="0" xfId="0" applyBorder="1"/>
    <xf numFmtId="1" fontId="0" fillId="0" borderId="0" xfId="0" applyNumberFormat="1"/>
    <xf numFmtId="0" fontId="0" fillId="0" borderId="28" xfId="0" applyFont="1" applyBorder="1"/>
    <xf numFmtId="0" fontId="0" fillId="8" borderId="27" xfId="0" applyFont="1" applyFill="1" applyBorder="1"/>
    <xf numFmtId="0" fontId="0" fillId="8" borderId="28" xfId="0" applyFont="1" applyFill="1" applyBorder="1"/>
    <xf numFmtId="0" fontId="0" fillId="0" borderId="29" xfId="0" applyFont="1" applyBorder="1"/>
    <xf numFmtId="0" fontId="0" fillId="8" borderId="29" xfId="0" applyFont="1" applyFill="1" applyBorder="1"/>
    <xf numFmtId="0" fontId="4" fillId="2" borderId="27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13" fillId="2" borderId="28" xfId="0" applyFont="1" applyFill="1" applyBorder="1"/>
    <xf numFmtId="1" fontId="12" fillId="2" borderId="28" xfId="0" applyNumberFormat="1" applyFont="1" applyFill="1" applyBorder="1"/>
    <xf numFmtId="0" fontId="5" fillId="8" borderId="27" xfId="0" applyFont="1" applyFill="1" applyBorder="1"/>
    <xf numFmtId="1" fontId="1" fillId="8" borderId="28" xfId="0" applyNumberFormat="1" applyFont="1" applyFill="1" applyBorder="1"/>
    <xf numFmtId="0" fontId="0" fillId="0" borderId="27" xfId="0" applyBorder="1" applyAlignment="1">
      <alignment horizontal="left"/>
    </xf>
    <xf numFmtId="0" fontId="0" fillId="8" borderId="27" xfId="0" applyFill="1" applyBorder="1" applyAlignment="1">
      <alignment horizontal="left"/>
    </xf>
    <xf numFmtId="0" fontId="3" fillId="8" borderId="27" xfId="0" applyFont="1" applyFill="1" applyBorder="1"/>
    <xf numFmtId="1" fontId="5" fillId="8" borderId="28" xfId="0" applyNumberFormat="1" applyFont="1" applyFill="1" applyBorder="1"/>
    <xf numFmtId="0" fontId="5" fillId="0" borderId="27" xfId="0" applyFont="1" applyBorder="1"/>
    <xf numFmtId="1" fontId="1" fillId="0" borderId="28" xfId="0" applyNumberFormat="1" applyFont="1" applyBorder="1"/>
    <xf numFmtId="1" fontId="1" fillId="0" borderId="0" xfId="0" applyNumberFormat="1" applyFont="1"/>
    <xf numFmtId="0" fontId="15" fillId="0" borderId="0" xfId="3" applyFont="1"/>
    <xf numFmtId="166" fontId="17" fillId="4" borderId="0" xfId="4" quotePrefix="1" applyFont="1" applyFill="1"/>
    <xf numFmtId="166" fontId="18" fillId="4" borderId="0" xfId="4" applyFont="1" applyFill="1" applyAlignment="1">
      <alignment horizontal="left" indent="2"/>
    </xf>
    <xf numFmtId="0" fontId="19" fillId="0" borderId="0" xfId="3" applyFont="1"/>
    <xf numFmtId="166" fontId="19" fillId="0" borderId="0" xfId="4" applyFont="1"/>
    <xf numFmtId="166" fontId="18" fillId="4" borderId="0" xfId="4" applyFont="1" applyFill="1" applyAlignment="1">
      <alignment horizontal="left" vertical="top" indent="2"/>
    </xf>
    <xf numFmtId="166" fontId="18" fillId="0" borderId="0" xfId="4" applyFont="1" applyFill="1" applyAlignment="1">
      <alignment horizontal="left" vertical="top" indent="2"/>
    </xf>
    <xf numFmtId="0" fontId="1" fillId="0" borderId="23" xfId="0" applyFont="1" applyBorder="1"/>
    <xf numFmtId="2" fontId="0" fillId="0" borderId="23" xfId="0" applyNumberFormat="1" applyBorder="1"/>
    <xf numFmtId="2" fontId="0" fillId="0" borderId="3" xfId="0" applyNumberFormat="1" applyBorder="1"/>
    <xf numFmtId="2" fontId="3" fillId="0" borderId="24" xfId="0" applyNumberFormat="1" applyFont="1" applyBorder="1"/>
    <xf numFmtId="0" fontId="0" fillId="0" borderId="0" xfId="0" applyProtection="1">
      <protection locked="0"/>
    </xf>
    <xf numFmtId="0" fontId="4" fillId="2" borderId="1" xfId="0" applyFont="1" applyFill="1" applyBorder="1" applyProtection="1">
      <protection locked="0"/>
    </xf>
    <xf numFmtId="0" fontId="1" fillId="0" borderId="1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5" fillId="0" borderId="1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1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3" fillId="0" borderId="32" xfId="0" applyFont="1" applyBorder="1"/>
    <xf numFmtId="0" fontId="3" fillId="0" borderId="34" xfId="0" applyFont="1" applyBorder="1"/>
    <xf numFmtId="0" fontId="3" fillId="0" borderId="33" xfId="0" applyFont="1" applyBorder="1"/>
    <xf numFmtId="2" fontId="1" fillId="0" borderId="35" xfId="0" applyNumberFormat="1" applyFont="1" applyBorder="1"/>
    <xf numFmtId="2" fontId="0" fillId="0" borderId="36" xfId="0" applyNumberFormat="1" applyBorder="1"/>
    <xf numFmtId="0" fontId="4" fillId="2" borderId="25" xfId="0" applyFont="1" applyFill="1" applyBorder="1"/>
    <xf numFmtId="9" fontId="4" fillId="2" borderId="25" xfId="0" applyNumberFormat="1" applyFont="1" applyFill="1" applyBorder="1"/>
    <xf numFmtId="9" fontId="4" fillId="2" borderId="26" xfId="0" applyNumberFormat="1" applyFont="1" applyFill="1" applyBorder="1"/>
    <xf numFmtId="0" fontId="1" fillId="0" borderId="38" xfId="0" applyFont="1" applyBorder="1"/>
    <xf numFmtId="0" fontId="3" fillId="0" borderId="38" xfId="0" applyFont="1" applyBorder="1"/>
    <xf numFmtId="0" fontId="0" fillId="0" borderId="38" xfId="0" applyBorder="1"/>
    <xf numFmtId="1" fontId="1" fillId="0" borderId="37" xfId="0" applyNumberFormat="1" applyFont="1" applyBorder="1"/>
    <xf numFmtId="0" fontId="0" fillId="0" borderId="37" xfId="0" applyBorder="1"/>
    <xf numFmtId="0" fontId="1" fillId="0" borderId="37" xfId="0" applyFont="1" applyBorder="1"/>
    <xf numFmtId="2" fontId="0" fillId="0" borderId="37" xfId="0" applyNumberFormat="1" applyBorder="1"/>
    <xf numFmtId="0" fontId="4" fillId="2" borderId="39" xfId="0" applyFont="1" applyFill="1" applyBorder="1"/>
    <xf numFmtId="9" fontId="4" fillId="2" borderId="39" xfId="0" applyNumberFormat="1" applyFont="1" applyFill="1" applyBorder="1"/>
    <xf numFmtId="9" fontId="4" fillId="2" borderId="40" xfId="0" applyNumberFormat="1" applyFont="1" applyFill="1" applyBorder="1"/>
    <xf numFmtId="2" fontId="3" fillId="0" borderId="37" xfId="0" applyNumberFormat="1" applyFont="1" applyBorder="1"/>
    <xf numFmtId="2" fontId="0" fillId="0" borderId="37" xfId="0" applyNumberFormat="1" applyFont="1" applyBorder="1"/>
    <xf numFmtId="0" fontId="0" fillId="0" borderId="41" xfId="0" applyBorder="1"/>
    <xf numFmtId="1" fontId="1" fillId="0" borderId="13" xfId="0" applyNumberFormat="1" applyFont="1" applyBorder="1"/>
    <xf numFmtId="0" fontId="4" fillId="2" borderId="42" xfId="0" applyFont="1" applyFill="1" applyBorder="1"/>
    <xf numFmtId="0" fontId="1" fillId="8" borderId="42" xfId="0" applyFont="1" applyFill="1" applyBorder="1"/>
    <xf numFmtId="1" fontId="1" fillId="8" borderId="39" xfId="0" applyNumberFormat="1" applyFont="1" applyFill="1" applyBorder="1"/>
    <xf numFmtId="0" fontId="0" fillId="8" borderId="39" xfId="0" applyFont="1" applyFill="1" applyBorder="1"/>
    <xf numFmtId="0" fontId="1" fillId="8" borderId="39" xfId="0" applyFont="1" applyFill="1" applyBorder="1"/>
    <xf numFmtId="0" fontId="0" fillId="8" borderId="40" xfId="0" applyFont="1" applyFill="1" applyBorder="1"/>
    <xf numFmtId="0" fontId="0" fillId="0" borderId="42" xfId="0" applyFont="1" applyBorder="1"/>
    <xf numFmtId="1" fontId="1" fillId="0" borderId="39" xfId="0" applyNumberFormat="1" applyFont="1" applyBorder="1"/>
    <xf numFmtId="0" fontId="0" fillId="0" borderId="39" xfId="0" applyFont="1" applyBorder="1"/>
    <xf numFmtId="0" fontId="1" fillId="0" borderId="39" xfId="0" applyFont="1" applyBorder="1"/>
    <xf numFmtId="0" fontId="0" fillId="0" borderId="40" xfId="0" applyFont="1" applyBorder="1"/>
    <xf numFmtId="0" fontId="0" fillId="8" borderId="42" xfId="0" applyFont="1" applyFill="1" applyBorder="1"/>
    <xf numFmtId="0" fontId="1" fillId="0" borderId="42" xfId="0" applyFont="1" applyBorder="1"/>
    <xf numFmtId="0" fontId="0" fillId="0" borderId="13" xfId="0" applyFont="1" applyBorder="1"/>
    <xf numFmtId="0" fontId="0" fillId="0" borderId="14" xfId="0" applyFont="1" applyBorder="1"/>
    <xf numFmtId="0" fontId="1" fillId="8" borderId="43" xfId="0" applyFont="1" applyFill="1" applyBorder="1"/>
    <xf numFmtId="0" fontId="0" fillId="0" borderId="43" xfId="0" applyFont="1" applyBorder="1"/>
    <xf numFmtId="0" fontId="0" fillId="8" borderId="43" xfId="0" applyFont="1" applyFill="1" applyBorder="1"/>
    <xf numFmtId="165" fontId="0" fillId="8" borderId="39" xfId="0" applyNumberFormat="1" applyFont="1" applyFill="1" applyBorder="1"/>
    <xf numFmtId="0" fontId="0" fillId="5" borderId="43" xfId="0" applyFont="1" applyFill="1" applyBorder="1"/>
    <xf numFmtId="0" fontId="0" fillId="5" borderId="39" xfId="0" applyFont="1" applyFill="1" applyBorder="1"/>
    <xf numFmtId="0" fontId="0" fillId="8" borderId="44" xfId="0" applyFont="1" applyFill="1" applyBorder="1"/>
    <xf numFmtId="0" fontId="0" fillId="8" borderId="13" xfId="0" applyFont="1" applyFill="1" applyBorder="1"/>
    <xf numFmtId="0" fontId="0" fillId="8" borderId="45" xfId="0" applyFont="1" applyFill="1" applyBorder="1"/>
    <xf numFmtId="0" fontId="0" fillId="0" borderId="42" xfId="0" applyFont="1" applyBorder="1" applyAlignment="1">
      <alignment horizontal="left" vertical="top"/>
    </xf>
    <xf numFmtId="0" fontId="0" fillId="8" borderId="42" xfId="0" applyFont="1" applyFill="1" applyBorder="1" applyAlignment="1">
      <alignment horizontal="left" vertical="top"/>
    </xf>
    <xf numFmtId="1" fontId="1" fillId="5" borderId="39" xfId="0" applyNumberFormat="1" applyFont="1" applyFill="1" applyBorder="1"/>
    <xf numFmtId="0" fontId="0" fillId="8" borderId="46" xfId="0" applyFont="1" applyFill="1" applyBorder="1"/>
    <xf numFmtId="0" fontId="0" fillId="8" borderId="0" xfId="0" applyFont="1" applyFill="1" applyBorder="1"/>
    <xf numFmtId="0" fontId="0" fillId="8" borderId="47" xfId="0" applyFont="1" applyFill="1" applyBorder="1"/>
    <xf numFmtId="0" fontId="0" fillId="5" borderId="30" xfId="0" applyFont="1" applyFill="1" applyBorder="1"/>
    <xf numFmtId="0" fontId="1" fillId="5" borderId="31" xfId="0" applyFont="1" applyFill="1" applyBorder="1"/>
    <xf numFmtId="0" fontId="0" fillId="5" borderId="31" xfId="0" applyFont="1" applyFill="1" applyBorder="1"/>
    <xf numFmtId="0" fontId="5" fillId="0" borderId="0" xfId="0" applyFont="1" applyAlignment="1">
      <alignment horizontal="left"/>
    </xf>
    <xf numFmtId="1" fontId="0" fillId="8" borderId="39" xfId="0" applyNumberFormat="1" applyFont="1" applyFill="1" applyBorder="1"/>
    <xf numFmtId="1" fontId="1" fillId="8" borderId="8" xfId="0" applyNumberFormat="1" applyFont="1" applyFill="1" applyBorder="1"/>
    <xf numFmtId="0" fontId="0" fillId="5" borderId="28" xfId="0" applyFont="1" applyFill="1" applyBorder="1"/>
    <xf numFmtId="0" fontId="0" fillId="5" borderId="0" xfId="0" applyFont="1" applyFill="1" applyBorder="1"/>
    <xf numFmtId="1" fontId="1" fillId="8" borderId="13" xfId="0" applyNumberFormat="1" applyFont="1" applyFill="1" applyBorder="1"/>
    <xf numFmtId="0" fontId="0" fillId="8" borderId="16" xfId="0" applyFont="1" applyFill="1" applyBorder="1"/>
    <xf numFmtId="0" fontId="0" fillId="0" borderId="16" xfId="0" applyFont="1" applyBorder="1"/>
    <xf numFmtId="0" fontId="0" fillId="5" borderId="16" xfId="0" applyFont="1" applyFill="1" applyBorder="1"/>
    <xf numFmtId="0" fontId="0" fillId="5" borderId="18" xfId="0" applyFont="1" applyFill="1" applyBorder="1"/>
    <xf numFmtId="0" fontId="0" fillId="5" borderId="19" xfId="0" applyFont="1" applyFill="1" applyBorder="1"/>
    <xf numFmtId="0" fontId="0" fillId="8" borderId="18" xfId="0" applyFont="1" applyFill="1" applyBorder="1"/>
    <xf numFmtId="0" fontId="0" fillId="0" borderId="0" xfId="0" applyFont="1" applyFill="1" applyBorder="1"/>
    <xf numFmtId="0" fontId="0" fillId="9" borderId="8" xfId="0" applyFont="1" applyFill="1" applyBorder="1"/>
    <xf numFmtId="0" fontId="0" fillId="0" borderId="8" xfId="0" applyFont="1" applyBorder="1"/>
    <xf numFmtId="0" fontId="0" fillId="10" borderId="8" xfId="0" applyFill="1" applyBorder="1"/>
    <xf numFmtId="0" fontId="0" fillId="8" borderId="28" xfId="0" applyFill="1" applyBorder="1"/>
    <xf numFmtId="0" fontId="0" fillId="8" borderId="29" xfId="0" applyFill="1" applyBorder="1"/>
    <xf numFmtId="0" fontId="0" fillId="0" borderId="28" xfId="0" applyBorder="1"/>
    <xf numFmtId="0" fontId="0" fillId="0" borderId="29" xfId="0" applyBorder="1"/>
    <xf numFmtId="165" fontId="0" fillId="8" borderId="0" xfId="0" applyNumberFormat="1" applyFont="1" applyFill="1" applyBorder="1"/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</cellXfs>
  <cellStyles count="5">
    <cellStyle name="Heading 1" xfId="2" builtinId="16"/>
    <cellStyle name="Hyperlink" xfId="1" builtinId="8"/>
    <cellStyle name="Normal" xfId="0" builtinId="0"/>
    <cellStyle name="Normal_AppendixAU" xfId="4" xr:uid="{BA79C05A-F2E3-47C1-B733-ED0D77A956C8}"/>
    <cellStyle name="Normal_graphs_baseline2" xfId="3" xr:uid="{2FB3C233-8F61-4D42-9255-6653086F0BA5}"/>
  </cellStyles>
  <dxfs count="10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protection locked="0" hidden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rgb="FF4472C4"/>
        </top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3" formatCode="0%"/>
      <fill>
        <patternFill patternType="solid">
          <fgColor theme="4"/>
          <bgColor theme="4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theme="5"/>
        </right>
        <top style="thin">
          <color theme="5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5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5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5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5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5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5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5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5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5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5"/>
        </top>
        <bottom/>
      </border>
    </dxf>
    <dxf>
      <numFmt numFmtId="2" formatCode="0.00"/>
    </dxf>
    <dxf>
      <font>
        <b/>
      </font>
      <numFmt numFmtId="2" formatCode="0.00"/>
    </dxf>
  </dxfs>
  <tableStyles count="0" defaultTableStyle="TableStyleMedium2" defaultPivotStyle="PivotStyleLight16"/>
  <colors>
    <mruColors>
      <color rgb="FF009999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mi365.sharepoint.com/sites/DENG-SESAM/Documenti%20condivisi/PROJECTS/2022_Eni_Modelling%20Suite/Model/examples/Italian_energy_system_2020/data/Demand_data/Basecase%20and%20PNIEC%20deman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"/>
      <sheetName val="Old 2"/>
      <sheetName val="Demand data for all scenari (2)"/>
      <sheetName val="Demand data for all scenarios"/>
      <sheetName val="PNIEC+GreenDeal+BioRef"/>
      <sheetName val="PNIEC + GreenDeal + BAN"/>
      <sheetName val="Basecase (Mtep)"/>
      <sheetName val="PNIEC+GreenDeal"/>
      <sheetName val="PNIEC+GreenDeal+BAN+BioRef LS"/>
      <sheetName val="PNIEC+GreenDeal+BAN+BioRef AS"/>
      <sheetName val="PNIEC+GreenDeal+BAN+BioRef  HS"/>
    </sheetNames>
    <sheetDataSet>
      <sheetData sheetId="0">
        <row r="34">
          <cell r="B34">
            <v>17.66</v>
          </cell>
        </row>
        <row r="54">
          <cell r="B54">
            <v>2.8652000000000002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97FB655F-8C39-4C26-82AA-DDCAA2F4435D}" name="Table361790" displayName="Table361790" ref="A50:W54" totalsRowShown="0">
  <autoFilter ref="A50:W54" xr:uid="{97FB655F-8C39-4C26-82AA-DDCAA2F4435D}"/>
  <tableColumns count="23">
    <tableColumn id="1" xr3:uid="{7741D0E9-9799-4F9E-A634-2991BF6F3F88}" name="Basecase scenario (Mtep)"/>
    <tableColumn id="2" xr3:uid="{A947FBDB-97A9-4FF2-8361-7B9D8CC40077}" name="2020" dataDxfId="108"/>
    <tableColumn id="3" xr3:uid="{775F78F5-C525-4C4D-9EC4-AC401C58C54C}" name="2021" dataDxfId="107">
      <calculatedColumnFormula>B51+($L51-$B51)/10</calculatedColumnFormula>
    </tableColumn>
    <tableColumn id="4" xr3:uid="{E57ADE3D-B2C9-4A8C-A655-E44DCFA90BA5}" name="2022">
      <calculatedColumnFormula>C51+($L51-$B51)/10</calculatedColumnFormula>
    </tableColumn>
    <tableColumn id="5" xr3:uid="{478D5F41-5B24-4854-A0E6-CE3513E30048}" name="2023">
      <calculatedColumnFormula>D51+($L51-$B51)/10</calculatedColumnFormula>
    </tableColumn>
    <tableColumn id="6" xr3:uid="{8537A03D-AA3C-4A6C-8A72-573AB39D663D}" name="2024">
      <calculatedColumnFormula>E51+($L51-$B51)/10</calculatedColumnFormula>
    </tableColumn>
    <tableColumn id="7" xr3:uid="{F56F8E8C-A370-4C75-BDB5-A2812A814B5C}" name="2025">
      <calculatedColumnFormula>F51+($L51-$B51)/10</calculatedColumnFormula>
    </tableColumn>
    <tableColumn id="8" xr3:uid="{11F8A977-C6C1-42A3-A6F5-DF75E7F09086}" name="2026">
      <calculatedColumnFormula>G51+($L51-$B51)/10</calculatedColumnFormula>
    </tableColumn>
    <tableColumn id="9" xr3:uid="{4078357C-3DF6-4CA8-B20A-830ECF3BD58A}" name="2027">
      <calculatedColumnFormula>H51+($L51-$B51)/10</calculatedColumnFormula>
    </tableColumn>
    <tableColumn id="10" xr3:uid="{6D7B5E3D-F3FD-42D8-8AD2-87A6F008CF0A}" name="2028">
      <calculatedColumnFormula>I51+($L51-$B51)/10</calculatedColumnFormula>
    </tableColumn>
    <tableColumn id="11" xr3:uid="{9FC9CA67-6A90-4514-A011-730A217BA721}" name="2029">
      <calculatedColumnFormula>J51+($L51-$B51)/10</calculatedColumnFormula>
    </tableColumn>
    <tableColumn id="12" xr3:uid="{22B6324C-043A-45E3-9A2F-A509DEBBE0C4}" name="2030"/>
    <tableColumn id="13" xr3:uid="{8DB20560-940E-4033-AEC8-D2D04BA8F4D7}" name="2020%" dataDxfId="106">
      <calculatedColumnFormula>B51/#REF!</calculatedColumnFormula>
    </tableColumn>
    <tableColumn id="14" xr3:uid="{DCD0B03A-DFC0-41DD-9BBC-640FAFAFD4B1}" name="2021%" dataDxfId="105">
      <calculatedColumnFormula>C51/C$51</calculatedColumnFormula>
    </tableColumn>
    <tableColumn id="15" xr3:uid="{088F8B41-3B84-4F8E-8C65-8637C661FB1B}" name="2022%" dataDxfId="104">
      <calculatedColumnFormula>D51/D$51</calculatedColumnFormula>
    </tableColumn>
    <tableColumn id="16" xr3:uid="{5D8211FE-0730-4693-80E2-8930E8AE9255}" name="2023%" dataDxfId="103">
      <calculatedColumnFormula>E51/E$51</calculatedColumnFormula>
    </tableColumn>
    <tableColumn id="17" xr3:uid="{971B87C4-B8B5-4A2B-814B-38C23A7FBADD}" name="2024%" dataDxfId="102">
      <calculatedColumnFormula>F51/F$51</calculatedColumnFormula>
    </tableColumn>
    <tableColumn id="18" xr3:uid="{953E0F6B-0CD8-4313-8346-E3642C63F52E}" name="2025%" dataDxfId="101">
      <calculatedColumnFormula>G51/G$51</calculatedColumnFormula>
    </tableColumn>
    <tableColumn id="19" xr3:uid="{47F0EAF1-B52D-49E8-BC64-660E13B725C3}" name="2026%" dataDxfId="100">
      <calculatedColumnFormula>H51/H$51</calculatedColumnFormula>
    </tableColumn>
    <tableColumn id="20" xr3:uid="{FBE63841-DD84-40C8-B255-B82E2640AE05}" name="2027%" dataDxfId="99">
      <calculatedColumnFormula>I51/I$51</calculatedColumnFormula>
    </tableColumn>
    <tableColumn id="21" xr3:uid="{79243E05-EA27-435A-8C79-4DAF2378C3CA}" name="2028%" dataDxfId="98">
      <calculatedColumnFormula>J51/J$51</calculatedColumnFormula>
    </tableColumn>
    <tableColumn id="22" xr3:uid="{04053134-3590-4F46-AE39-3506767D31F5}" name="2029%" dataDxfId="97">
      <calculatedColumnFormula>K51/K$51</calculatedColumnFormula>
    </tableColumn>
    <tableColumn id="23" xr3:uid="{69A8535C-0A48-437D-A19B-ABA58445599E}" name="2030%" dataDxfId="96">
      <calculatedColumnFormula>L51/L$51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9C9BD638-E8CC-4CCB-86C8-CF9445B67150}" name="Tabella3548" displayName="Tabella3548" ref="B56:H82" totalsRowShown="0">
  <autoFilter ref="B56:H82" xr:uid="{6669BBF0-DEF0-4C4B-9BB6-F69BF0CBD683}"/>
  <tableColumns count="7">
    <tableColumn id="1" xr3:uid="{9B24BC99-5A07-4F2A-9572-0413850FE0A5}" name="Anno"/>
    <tableColumn id="2" xr3:uid="{86EC07C3-6682-424D-861D-BE4F543EDD5F}" name="Export"/>
    <tableColumn id="3" xr3:uid="{BACD451B-FBA8-4C29-96AD-B9DA89907B4F}" name="Primary"/>
    <tableColumn id="4" xr3:uid="{56099C8A-EE97-45BC-8CAB-9370E7E0DB6A}" name="Transport"/>
    <tableColumn id="5" xr3:uid="{13CC206C-F6CA-4DDD-B8AD-7B795CF143E0}" name="Industry"/>
    <tableColumn id="6" xr3:uid="{02B6901C-19E1-4AB1-8D49-182862D330D2}" name="Residential"/>
    <tableColumn id="7" xr3:uid="{86E443BF-26DA-4B84-B422-D7592FE1CD40}" name="Servic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00F8C21-62F8-4B0C-97A7-BE7F6B5BB44B}" name="Tabella33374052" displayName="Tabella33374052" ref="A5:BA60" totalsRowShown="0">
  <autoFilter ref="A5:BA60" xr:uid="{66A9BE0F-1897-4E97-8118-35E1802BB6C1}"/>
  <tableColumns count="53">
    <tableColumn id="1" xr3:uid="{84208C78-52BC-4E18-9799-BCF256495838}" name="PNIEC + Green Deal scenario (GWh)"/>
    <tableColumn id="2" xr3:uid="{FC5490B8-CB54-4FCD-9518-8680A0811373}" name="2020"/>
    <tableColumn id="3" xr3:uid="{0064E14C-D05B-43E9-B87B-558F5D3686B4}" name="2021"/>
    <tableColumn id="4" xr3:uid="{1E572EA9-F9DF-46C8-81C8-1EB6C77E59A5}" name="2022"/>
    <tableColumn id="5" xr3:uid="{DF515FEF-45CE-4F9C-8028-FC048499C68E}" name="2023"/>
    <tableColumn id="6" xr3:uid="{FDB8EC62-3723-432E-BFB8-C8632BD311B8}" name="2024"/>
    <tableColumn id="7" xr3:uid="{F559BCB0-76D0-4092-8757-844900E1E792}" name="2025"/>
    <tableColumn id="8" xr3:uid="{7A7E27FE-0E63-43B9-9E1D-AFD727A6FC47}" name="2026"/>
    <tableColumn id="9" xr3:uid="{7C9A24B3-0E77-46DC-B8A8-1DC1C954E7FB}" name="2027"/>
    <tableColumn id="10" xr3:uid="{F67B392B-DD6D-41EB-8EFB-96C94092A9E7}" name="2028"/>
    <tableColumn id="11" xr3:uid="{5ACF6682-EDA5-4E4C-82C5-A24F989816CA}" name="2029"/>
    <tableColumn id="12" xr3:uid="{042CFC11-FDCD-4D9B-AE7E-009FC575EAC5}" name="2030"/>
    <tableColumn id="24" xr3:uid="{7ACE8C32-9AED-406E-B385-C7C6C887FD56}" name="2031"/>
    <tableColumn id="25" xr3:uid="{C1197F4E-342D-41C6-AEC8-1A7D1EAE3401}" name="2032"/>
    <tableColumn id="26" xr3:uid="{96C4FE1F-FB58-4033-9CEA-0FB990CAB2CD}" name="2033"/>
    <tableColumn id="27" xr3:uid="{38478E36-AA10-47EF-87C5-6D5DD9C97DF2}" name="2034"/>
    <tableColumn id="28" xr3:uid="{83F2CF31-9DC5-465F-A40D-A2BD182810EB}" name="2035"/>
    <tableColumn id="29" xr3:uid="{2221D5F2-0E1E-476E-91A4-DD3957B5D3A4}" name="2036"/>
    <tableColumn id="30" xr3:uid="{CEFAC38C-0460-4487-B541-3FA7F343AACB}" name="2037"/>
    <tableColumn id="31" xr3:uid="{72E51607-B457-4FC5-9977-D04025EEA68E}" name="2038"/>
    <tableColumn id="32" xr3:uid="{4E43A884-00D5-4DD3-8EC9-606847CA0E7F}" name="2039"/>
    <tableColumn id="33" xr3:uid="{AE111848-B86B-4A45-B981-1790CBDE3EA5}" name="2040"/>
    <tableColumn id="34" xr3:uid="{5FF13CBD-B488-4F1F-A494-FF2E81E5798A}" name="2041"/>
    <tableColumn id="35" xr3:uid="{5884303D-58C0-43A9-BF72-35CC3CE62EE8}" name="2042"/>
    <tableColumn id="36" xr3:uid="{A312645C-4C3D-487C-8E21-05855093069C}" name="2043"/>
    <tableColumn id="37" xr3:uid="{7C8362E4-2048-4A7D-8101-CF6F3E032973}" name="2044"/>
    <tableColumn id="38" xr3:uid="{5C5CD86F-18A6-422B-825D-E4E3A4403A70}" name="2045"/>
    <tableColumn id="13" xr3:uid="{71C15FE4-02AF-433C-BE1D-7E8CAB7D4066}" name="2020%"/>
    <tableColumn id="14" xr3:uid="{11BF5728-DD59-4CF2-9D12-23729A2EC6D5}" name="2021%"/>
    <tableColumn id="15" xr3:uid="{E45186BE-09CC-4303-A79A-20773A47EAE8}" name="2022%"/>
    <tableColumn id="16" xr3:uid="{4AF2A914-4CCF-43F0-A83F-7FC208E8FD9A}" name="2023%"/>
    <tableColumn id="17" xr3:uid="{DE2B8F50-FBE4-4F85-91E6-3110957E1F2C}" name="2024%"/>
    <tableColumn id="18" xr3:uid="{5862C9DF-87A8-4326-8D1A-966B7F8459A0}" name="2025%"/>
    <tableColumn id="19" xr3:uid="{F639EB4B-6D08-4CA8-9717-1289FE4E5ED6}" name="2026%"/>
    <tableColumn id="20" xr3:uid="{6F9FFF1C-44B2-4662-8A57-1BC06EB36A38}" name="2027%"/>
    <tableColumn id="21" xr3:uid="{FE636B28-0D24-4F9E-838F-104070A00218}" name="2028%"/>
    <tableColumn id="22" xr3:uid="{97924FC3-701A-48F9-A311-2278EDDCBBF9}" name="2029%"/>
    <tableColumn id="23" xr3:uid="{CA4A88F0-D3C1-4F85-9661-2FCE8CA6D69A}" name="2030%"/>
    <tableColumn id="40" xr3:uid="{991BF5D2-FED5-476F-B526-CC77F722160A}" name="2031%"/>
    <tableColumn id="41" xr3:uid="{2BEF9D64-64BF-4AC4-89F1-E1C20A84A629}" name="2032%"/>
    <tableColumn id="42" xr3:uid="{4756D70F-C5FF-44F8-B0A8-83B8952AF0E9}" name="2033%"/>
    <tableColumn id="43" xr3:uid="{B1CFDA04-6BFF-411F-ACA5-F25D8D367F21}" name="2034%"/>
    <tableColumn id="44" xr3:uid="{666D76D0-4273-4865-A4AB-60725DC3DA2E}" name="2035%"/>
    <tableColumn id="45" xr3:uid="{9E59C707-C77C-42C7-AB09-E4511E5BE002}" name="2036%"/>
    <tableColumn id="46" xr3:uid="{249C1969-7A28-406D-85DD-4977DCA4A1B9}" name="2037%"/>
    <tableColumn id="47" xr3:uid="{008C77A7-88EC-418D-8739-21BC2B8C52A8}" name="2038%"/>
    <tableColumn id="48" xr3:uid="{3E5FA545-D246-48D0-95E9-D73AED75FE6F}" name="2039%"/>
    <tableColumn id="49" xr3:uid="{94EE06D0-5D83-49F3-86A6-49ECDF69155E}" name="2040%"/>
    <tableColumn id="50" xr3:uid="{28560CAB-9228-4E83-A925-817631C133CF}" name="2041%"/>
    <tableColumn id="51" xr3:uid="{83471B07-4517-4A82-9492-B80BF8208F48}" name="2042%"/>
    <tableColumn id="52" xr3:uid="{C3F7904A-7F44-42E2-93F2-A3A47FB65503}" name="2043%"/>
    <tableColumn id="53" xr3:uid="{3786EF9B-7E56-4738-82E6-A0A8E45DB028}" name="2044%"/>
    <tableColumn id="54" xr3:uid="{9BFEE013-6F62-41C0-A6B5-5EC1B56D80A7}" name="2045%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EEA97FEA-8D22-4F75-AFEB-ADDF1B6AF61E}" name="Tabella34384153" displayName="Tabella34384153" ref="A63:AA69" totalsRowShown="0">
  <autoFilter ref="A63:AA69" xr:uid="{1A627D4B-C4F0-41B3-B557-56D5E72EEAD7}"/>
  <tableColumns count="27">
    <tableColumn id="1" xr3:uid="{498C773D-9E9B-4B6E-9A07-01844CC63F4F}" name="PNIEC + Green Deal scenario (GWh)"/>
    <tableColumn id="2" xr3:uid="{BA7D5A70-78F6-4B5A-92D5-9A47EB2B117E}" name="2020"/>
    <tableColumn id="3" xr3:uid="{D0EFBFFE-5D1B-4F41-9F8B-39F0948CB0F2}" name="2021"/>
    <tableColumn id="4" xr3:uid="{1D64F5BF-FC2C-491B-B969-6263551DC858}" name="2022"/>
    <tableColumn id="5" xr3:uid="{DED7B30C-4D26-4D76-96C2-2CA368F3F754}" name="2023"/>
    <tableColumn id="6" xr3:uid="{ED5B83C9-44D3-4010-819F-7BD4E67E78B1}" name="2024"/>
    <tableColumn id="7" xr3:uid="{1126A9C1-9B78-42DB-BC02-50BAF3592FA5}" name="2025"/>
    <tableColumn id="8" xr3:uid="{7C446165-08E2-42B6-A2FC-4C463FAD88D0}" name="2026"/>
    <tableColumn id="9" xr3:uid="{E698D68B-B37C-4C6F-9BA3-D6263C3C7391}" name="2027"/>
    <tableColumn id="10" xr3:uid="{057C82ED-EB4E-410A-8FB0-936BAE04FA41}" name="2028"/>
    <tableColumn id="11" xr3:uid="{AB7B65E8-562E-44F1-894C-87E12427FD31}" name="2029"/>
    <tableColumn id="12" xr3:uid="{758377D3-0149-4B34-9FE4-F9B69B3E216A}" name="2030"/>
    <tableColumn id="13" xr3:uid="{8FD0C10A-6E04-4455-BAAC-599A722C6DBB}" name="2031"/>
    <tableColumn id="14" xr3:uid="{F42FBEAB-9FDC-4648-BD01-B4B7E76A0CE4}" name="2032"/>
    <tableColumn id="15" xr3:uid="{CDB8272F-3940-48AE-9571-7244A16ACFEE}" name="2033"/>
    <tableColumn id="16" xr3:uid="{80EAF1A6-A542-4B8B-BCDA-F683D5753915}" name="2034"/>
    <tableColumn id="17" xr3:uid="{F944C1FE-FF8A-417A-9C50-7B4ADF915E3E}" name="2035"/>
    <tableColumn id="18" xr3:uid="{66A40ACB-689F-46F4-8553-D416C329C671}" name="2036"/>
    <tableColumn id="19" xr3:uid="{60C3DA68-9A68-4DB5-98B9-6795B982E1D7}" name="2037"/>
    <tableColumn id="20" xr3:uid="{A5943080-1E05-4CB3-99DE-4AFBD2A6E808}" name="2038"/>
    <tableColumn id="21" xr3:uid="{36D43EBA-365F-4681-AC8B-7DE36E25E625}" name="2039"/>
    <tableColumn id="22" xr3:uid="{2407F09A-AC1D-422B-BB57-FB104EE7D33A}" name="2040"/>
    <tableColumn id="23" xr3:uid="{0E3FD0F0-BA88-48CF-8959-251B6C517082}" name="2041"/>
    <tableColumn id="24" xr3:uid="{FF27CCC1-CDB5-4305-811B-DDDC06628D44}" name="2042"/>
    <tableColumn id="25" xr3:uid="{CA595F3F-11EC-4F67-B405-4E05FF71B6AF}" name="2043"/>
    <tableColumn id="26" xr3:uid="{28327EEF-C758-46BD-A649-03B37816370F}" name="2044"/>
    <tableColumn id="27" xr3:uid="{4221D794-D317-47AD-B9B0-B5573444A367}" name="204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F5A7946-0DDF-43CA-BB85-0F355D314C35}" name="Tabella35394254" displayName="Tabella35394254" ref="A71:G97" totalsRowShown="0">
  <autoFilter ref="A71:G97" xr:uid="{6669BBF0-DEF0-4C4B-9BB6-F69BF0CBD683}"/>
  <tableColumns count="7">
    <tableColumn id="1" xr3:uid="{CD5FAA13-01A7-4086-B182-C995571F0528}" name="Anno"/>
    <tableColumn id="2" xr3:uid="{473B4A33-7247-476B-96DF-003F75C81A84}" name="Export"/>
    <tableColumn id="3" xr3:uid="{56FC7641-D19C-48C4-82B7-4AA2F79CEAC4}" name="Primary"/>
    <tableColumn id="4" xr3:uid="{A193D2CD-87EA-4FD5-890D-4FB8D6EDE056}" name="Transport"/>
    <tableColumn id="5" xr3:uid="{A712B55A-4859-4ADE-9CB5-0A03158D9B93}" name="Industry"/>
    <tableColumn id="6" xr3:uid="{6A6F53C5-655F-46AC-9227-8EB331EE664B}" name="Residential"/>
    <tableColumn id="7" xr3:uid="{2479D8AD-C760-4E45-B8FD-CCBC6BB46F7E}" name="Service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F4A672EE-189A-4491-96E2-55A54D487254}" name="Tabella343841" displayName="Tabella343841" ref="A69:AF75" totalsRowShown="0">
  <autoFilter ref="A69:AF75" xr:uid="{1A627D4B-C4F0-41B3-B557-56D5E72EEAD7}"/>
  <tableColumns count="32">
    <tableColumn id="1" xr3:uid="{7222CC30-C557-4A38-8964-0E537FF115F0}" name="PNIEC + Green Deal scenario (GWh)"/>
    <tableColumn id="2" xr3:uid="{0754ADDA-7330-492C-9D39-087B2DD99AE8}" name="2020"/>
    <tableColumn id="3" xr3:uid="{D968840C-EE96-4961-8683-DB1AB602BFD9}" name="2021"/>
    <tableColumn id="4" xr3:uid="{C89BAB49-54FC-410F-97B7-62EEC726A73D}" name="2022"/>
    <tableColumn id="5" xr3:uid="{4F57EB3F-68FE-4E91-A5FE-3DFDDE28E737}" name="2023"/>
    <tableColumn id="6" xr3:uid="{F70DEDFE-7EEF-4090-988F-505C9CA718F6}" name="2024"/>
    <tableColumn id="7" xr3:uid="{34C7E1E1-31D5-48D6-A900-19E4C34CBE07}" name="2025"/>
    <tableColumn id="8" xr3:uid="{B1E7C7AD-75D6-4DEB-BF42-E10A97FA1445}" name="2026"/>
    <tableColumn id="9" xr3:uid="{555BDAF7-1DBA-434B-B1EA-2F502D4D3F2F}" name="2027"/>
    <tableColumn id="10" xr3:uid="{C9FE3019-84B3-4440-9014-59E903741A2F}" name="2028"/>
    <tableColumn id="11" xr3:uid="{2D5ED31D-BBE0-45C2-A0E2-21176417F021}" name="2029"/>
    <tableColumn id="12" xr3:uid="{A6BD8EF5-2200-4114-B04D-CFEB949828AA}" name="2030"/>
    <tableColumn id="13" xr3:uid="{5747D2C5-B492-49EF-BC5E-24726A2A69F5}" name="2031"/>
    <tableColumn id="14" xr3:uid="{B87F1B5B-2F9E-4D46-9CC1-92AEF183427D}" name="2032"/>
    <tableColumn id="15" xr3:uid="{F8B349FA-FD48-4C85-9078-213570A6EB56}" name="2033"/>
    <tableColumn id="16" xr3:uid="{43E07612-D0DB-4057-8C45-C259E6BC62FA}" name="2034"/>
    <tableColumn id="17" xr3:uid="{391C3F38-B611-4F57-97B0-7643143E9C6D}" name="2035"/>
    <tableColumn id="18" xr3:uid="{96DBA518-A1F8-4819-B6E5-74C0D138E24E}" name="2036"/>
    <tableColumn id="19" xr3:uid="{A4BDEA2D-2BAE-4D7B-ACC5-98EC3DB60ED3}" name="2037"/>
    <tableColumn id="20" xr3:uid="{C8C4DB38-FBCC-4052-8C00-B5F5EEC9EB1A}" name="2038"/>
    <tableColumn id="21" xr3:uid="{123E9EB6-7247-4257-AD78-142F178A8164}" name="2039"/>
    <tableColumn id="22" xr3:uid="{65F35F64-894D-4FC3-89FB-9D534F23DBD9}" name="2040"/>
    <tableColumn id="23" xr3:uid="{041A2377-E8A0-40D7-9C52-D684403AC92B}" name="2041"/>
    <tableColumn id="24" xr3:uid="{21D0A043-5847-4E8B-B131-58E4ABB9236A}" name="2042"/>
    <tableColumn id="25" xr3:uid="{85C495CD-CD5B-487C-B22F-1381828584DB}" name="2043"/>
    <tableColumn id="26" xr3:uid="{DF887585-24D4-48AA-96F8-9617A1DB3CD6}" name="2044"/>
    <tableColumn id="27" xr3:uid="{A6EC1E67-B6B2-4B71-B3AA-B4A64F676E15}" name="2045"/>
    <tableColumn id="28" xr3:uid="{87D6EED0-6376-4329-B292-612C3E49BE08}" name="2046"/>
    <tableColumn id="29" xr3:uid="{8CAD3878-4909-4354-82CF-4812C0E9D00B}" name="2047"/>
    <tableColumn id="30" xr3:uid="{469DF4A5-D92E-49AE-B0F5-6D9B903B9030}" name="2048"/>
    <tableColumn id="31" xr3:uid="{B0194318-CAA5-4FAB-89E8-D8D55A62B487}" name="2049"/>
    <tableColumn id="32" xr3:uid="{29CB778B-E067-446D-8568-0CA3DE676A3C}" name="205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7C40085-C5A5-49A8-80E1-93C1FA7A8C1D}" name="Tabella353942" displayName="Tabella353942" ref="A77:G109" totalsRowShown="0">
  <autoFilter ref="A77:G109" xr:uid="{6669BBF0-DEF0-4C4B-9BB6-F69BF0CBD683}"/>
  <tableColumns count="7">
    <tableColumn id="1" xr3:uid="{16A705E3-046A-41FC-B570-210898B655B9}" name="Anno"/>
    <tableColumn id="2" xr3:uid="{E78EE48E-3EB2-4BC8-8303-710742CE0D81}" name="Export"/>
    <tableColumn id="3" xr3:uid="{79A0AAAA-ECB4-44FE-B363-7AD9A0EE9B2A}" name="Primary"/>
    <tableColumn id="4" xr3:uid="{1757E9E7-1B65-4F65-93A6-B37EAE7A5112}" name="Transport"/>
    <tableColumn id="5" xr3:uid="{C2C3B8F9-AD05-45FB-AE87-856C70C38DCA}" name="Industry"/>
    <tableColumn id="6" xr3:uid="{DFCC3E2D-1C2E-4A40-8D5A-27A40D86D008}" name="Residential"/>
    <tableColumn id="7" xr3:uid="{F5E2A9F5-507E-4E35-A2AF-1ACA49F6A0F1}" name="Service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614A5B6-9C61-4CB3-9B89-DA996FBD31C5}" name="Tabella3438" displayName="Tabella3438" ref="A69:AF75" totalsRowShown="0">
  <autoFilter ref="A69:AF75" xr:uid="{1A627D4B-C4F0-41B3-B557-56D5E72EEAD7}"/>
  <tableColumns count="32">
    <tableColumn id="1" xr3:uid="{36D3BCC3-BBF0-41D2-914C-16D05F556DF0}" name="PNIEC + Green Deal scenario (GWh)"/>
    <tableColumn id="2" xr3:uid="{50137BD5-F245-4C40-AC80-F294C1730C7F}" name="2020"/>
    <tableColumn id="3" xr3:uid="{89E23F44-2AEC-41C7-B670-8560711BEA9A}" name="2021"/>
    <tableColumn id="4" xr3:uid="{2F5ADD13-AB45-4F03-99F3-2B5314C9B09F}" name="2022"/>
    <tableColumn id="5" xr3:uid="{F5FC2316-1F39-4137-8CA9-EF80DA87464E}" name="2023"/>
    <tableColumn id="6" xr3:uid="{C98706AD-868C-4B81-8912-C08BEDFFA826}" name="2024"/>
    <tableColumn id="7" xr3:uid="{0F2E108B-AC49-440B-BA42-2D5307C38EF0}" name="2025"/>
    <tableColumn id="8" xr3:uid="{4D3AC22D-98C1-446C-8A37-41A0B3CAF4A4}" name="2026"/>
    <tableColumn id="9" xr3:uid="{8A836091-8113-4408-8D0B-F61562CF0BB0}" name="2027"/>
    <tableColumn id="10" xr3:uid="{98ABA4CC-BD9D-4A4A-817F-C428661BF0CA}" name="2028"/>
    <tableColumn id="11" xr3:uid="{676AC3D3-9FE8-4ED3-94E7-550E32A759E4}" name="2029"/>
    <tableColumn id="12" xr3:uid="{38CEB443-4A9F-4771-89DC-470ECCFED219}" name="2030"/>
    <tableColumn id="13" xr3:uid="{9DF2BB31-8619-44EC-A307-2B099A7A3EB5}" name="2031"/>
    <tableColumn id="14" xr3:uid="{B839831D-48C6-4FFC-BF5F-F0C4562F7C74}" name="2032"/>
    <tableColumn id="15" xr3:uid="{1ED0EC32-47C4-49CC-B697-D39F83761A0A}" name="2033"/>
    <tableColumn id="16" xr3:uid="{5E558E5A-D782-4302-AC94-726F682BFCBD}" name="2034"/>
    <tableColumn id="17" xr3:uid="{FCA41C9C-CD74-4B34-9B36-B2026D424EA6}" name="2035"/>
    <tableColumn id="18" xr3:uid="{F6F7577F-38CD-4B4B-B18D-9EA63926E88D}" name="2036"/>
    <tableColumn id="19" xr3:uid="{68ABD91F-B089-460C-BCD9-EE8B1B3C24CB}" name="2037"/>
    <tableColumn id="20" xr3:uid="{920A2049-8D49-4D53-BC8E-6C438FBBB058}" name="2038"/>
    <tableColumn id="21" xr3:uid="{D4EC0666-08AA-461A-B321-15EE43F0B04C}" name="2039"/>
    <tableColumn id="22" xr3:uid="{8B4E97CC-CC92-4598-8B6D-15A4FAAB5601}" name="2040"/>
    <tableColumn id="23" xr3:uid="{39574483-90AF-41F0-A458-F69C6C6B18BE}" name="2041"/>
    <tableColumn id="24" xr3:uid="{5E167BBC-ECBD-47C8-A440-FC7184B9D646}" name="2042"/>
    <tableColumn id="25" xr3:uid="{A5E61E42-E682-46F5-8322-73D9D8177147}" name="2043"/>
    <tableColumn id="26" xr3:uid="{84062C31-E0FD-4F96-9791-A174CFDA79D7}" name="2044"/>
    <tableColumn id="27" xr3:uid="{F25CEA74-1E82-4E82-8D1C-62C2EC95646D}" name="2045" dataDxfId="36"/>
    <tableColumn id="28" xr3:uid="{3C06ECA1-19B1-4CC9-BA26-EDEAF4841C5C}" name="2046" dataDxfId="35"/>
    <tableColumn id="29" xr3:uid="{60398E7E-F4E6-4F26-B07D-9ED822D96585}" name="2047" dataDxfId="34"/>
    <tableColumn id="30" xr3:uid="{90A132E5-D73A-434E-A625-880F22DD2C2B}" name="2048" dataDxfId="33"/>
    <tableColumn id="31" xr3:uid="{127B942F-B032-4DAD-BF50-4E1800DA510A}" name="2049" dataDxfId="32"/>
    <tableColumn id="32" xr3:uid="{AC27D584-C86E-41F5-B084-4E75770324DA}" name="2050" dataDxfId="3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1A634A9-9EE6-43C5-922C-EBACD4C4993B}" name="Tabella3539" displayName="Tabella3539" ref="A77:G108" totalsRowShown="0">
  <autoFilter ref="A77:G108" xr:uid="{6669BBF0-DEF0-4C4B-9BB6-F69BF0CBD683}"/>
  <tableColumns count="7">
    <tableColumn id="1" xr3:uid="{0BF0327B-EE0C-479B-8467-69D3E388A96F}" name="Anno"/>
    <tableColumn id="2" xr3:uid="{DC02B936-A387-4B27-B86A-47BCBD0354B6}" name="Export"/>
    <tableColumn id="3" xr3:uid="{CA1146FB-A1C8-4EAC-87ED-9C84A416D3F5}" name="Primary"/>
    <tableColumn id="4" xr3:uid="{A4EAFB8B-F24D-4BB6-A17E-A04A2EB629B2}" name="Transport"/>
    <tableColumn id="5" xr3:uid="{EF76A8D7-782D-4007-853B-C64F5D754D83}" name="Industry"/>
    <tableColumn id="6" xr3:uid="{5C7EE077-0E12-41F1-8448-010B3730DF70}" name="Residential"/>
    <tableColumn id="7" xr3:uid="{333DC846-595C-498B-880B-CF91727EB755}" name="Service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A5BE2E23-BF70-41D9-BB6D-98F50D737235}" name="Tabella343844" displayName="Tabella343844" ref="A69:AF75" totalsRowShown="0">
  <autoFilter ref="A69:AF75" xr:uid="{1A627D4B-C4F0-41B3-B557-56D5E72EEAD7}"/>
  <tableColumns count="32">
    <tableColumn id="1" xr3:uid="{F1C2B911-BF4C-4A9E-851F-4B3EAAD619D1}" name="PNIEC + Green Deal scenario (GWh)"/>
    <tableColumn id="2" xr3:uid="{F11F992C-4FD8-4E4B-BEB0-8A774C56DEB9}" name="2020" dataDxfId="30"/>
    <tableColumn id="3" xr3:uid="{DB49A6B6-8C00-436A-BCBD-A5D399E3113C}" name="2021" dataDxfId="29"/>
    <tableColumn id="4" xr3:uid="{39CC10F9-409E-4216-A5D5-C2077924B849}" name="2022" dataDxfId="28"/>
    <tableColumn id="5" xr3:uid="{98C1675D-648B-4130-A360-C504873053CA}" name="2023" dataDxfId="27"/>
    <tableColumn id="6" xr3:uid="{DCD38832-71FE-4690-AB93-E2EC3BC51244}" name="2024" dataDxfId="26"/>
    <tableColumn id="7" xr3:uid="{E82A3C05-2A56-4168-A384-131ED0297330}" name="2025" dataDxfId="25"/>
    <tableColumn id="8" xr3:uid="{933261A0-0127-489C-A686-766DA719DEBD}" name="2026" dataDxfId="24"/>
    <tableColumn id="9" xr3:uid="{9423C2F8-20F2-4E3B-977F-96A3C17FE587}" name="2027" dataDxfId="23"/>
    <tableColumn id="10" xr3:uid="{E9AF0AC2-4E3B-4F3C-BF21-3CF793B2B241}" name="2028" dataDxfId="22"/>
    <tableColumn id="11" xr3:uid="{BF8DCF5F-51E5-46EE-87DC-0A7F02C9BEDF}" name="2029" dataDxfId="21"/>
    <tableColumn id="12" xr3:uid="{5EB9353E-9D8D-46F4-B2C6-554C04C9FFEB}" name="2030" dataDxfId="20"/>
    <tableColumn id="13" xr3:uid="{C4778E1A-FE53-4A9C-850B-69254B37D748}" name="2031" dataDxfId="19"/>
    <tableColumn id="14" xr3:uid="{928F6B86-A6B4-4FF2-AFD8-1FEAD55E473E}" name="2032" dataDxfId="18"/>
    <tableColumn id="15" xr3:uid="{6778FE5D-D496-4F97-83A2-488758A8BE32}" name="2033" dataDxfId="17"/>
    <tableColumn id="16" xr3:uid="{AF245531-B437-42EA-AD40-20493D810DFA}" name="2034" dataDxfId="16"/>
    <tableColumn id="17" xr3:uid="{A2CB8ABB-8813-4FF1-A9A8-2368C98A96CD}" name="2035" dataDxfId="15"/>
    <tableColumn id="18" xr3:uid="{16E480F1-0BBC-4431-AB25-D448EDB088D4}" name="2036" dataDxfId="14"/>
    <tableColumn id="19" xr3:uid="{C9C8E684-38BC-4103-8CD3-3DCE4C559368}" name="2037" dataDxfId="13"/>
    <tableColumn id="20" xr3:uid="{722B19B2-D950-4CC9-9C8C-93E7E5E1B292}" name="2038" dataDxfId="12"/>
    <tableColumn id="21" xr3:uid="{45D89193-6221-4BEB-97D0-98982484A87F}" name="2039" dataDxfId="11"/>
    <tableColumn id="22" xr3:uid="{5992E2AE-1090-4648-AD81-C91264A11809}" name="2040" dataDxfId="10"/>
    <tableColumn id="23" xr3:uid="{B6E03C09-EEF1-42E6-90A6-6516D9FDDFEA}" name="2041" dataDxfId="9"/>
    <tableColumn id="24" xr3:uid="{62995AB3-65BD-44FF-9B45-A33BF7C2FDDB}" name="2042" dataDxfId="8"/>
    <tableColumn id="25" xr3:uid="{92B68709-E430-42CB-A3E1-F0FC7BE2168C}" name="2043" dataDxfId="7"/>
    <tableColumn id="26" xr3:uid="{C67D67CC-1928-4695-9AF8-550D374C9DD0}" name="2044" dataDxfId="6"/>
    <tableColumn id="27" xr3:uid="{7AAA858D-F704-4F36-B995-F1B2987C8315}" name="2045" dataDxfId="5"/>
    <tableColumn id="28" xr3:uid="{62E9588F-D899-49CA-9801-808107A76C52}" name="2046" dataDxfId="4"/>
    <tableColumn id="29" xr3:uid="{C9BE2763-BFAF-4230-8222-5A3D2BB3DCDD}" name="2047" dataDxfId="3"/>
    <tableColumn id="30" xr3:uid="{3F3769CE-1322-49AC-8753-18EC223E78CA}" name="2048" dataDxfId="2"/>
    <tableColumn id="31" xr3:uid="{AF2427FA-288C-4AF5-A029-7C994B99A54E}" name="2049" dataDxfId="1"/>
    <tableColumn id="32" xr3:uid="{E9FFAE81-4235-4B2F-ACF9-F977F7890A08}" name="2050" dataDxfId="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A37FF54-F2EA-443D-A34C-09C2F15F518B}" name="Tabella353945" displayName="Tabella353945" ref="A77:G108" totalsRowShown="0">
  <autoFilter ref="A77:G108" xr:uid="{6669BBF0-DEF0-4C4B-9BB6-F69BF0CBD683}"/>
  <tableColumns count="7">
    <tableColumn id="1" xr3:uid="{7BDA2675-9B8E-4E77-A678-23055FF6C04A}" name="Anno"/>
    <tableColumn id="2" xr3:uid="{A9E2FD32-539D-4172-B1FE-BD0BF19CD7B3}" name="Export"/>
    <tableColumn id="3" xr3:uid="{96F64B1F-F3E4-4033-B874-0A35413683A6}" name="Primary"/>
    <tableColumn id="4" xr3:uid="{9B9E63A4-80B4-427A-B7F8-96B8C05B42E2}" name="Transport"/>
    <tableColumn id="5" xr3:uid="{096143D5-8FD0-4622-8C2E-8160770CA83A}" name="Industry"/>
    <tableColumn id="6" xr3:uid="{2F6BFB09-2179-4413-B8F1-6E4817915A2B}" name="Residential"/>
    <tableColumn id="7" xr3:uid="{5E54FC32-0FED-4521-9A45-DB7CADF37EF1}" name="Servic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4F93FDD4-0797-4F21-8225-FCA992F3286E}" name="Tabella42191" displayName="Tabella42191" ref="A61:W90" totalsRowShown="0" headerRowDxfId="95" dataDxfId="94" tableBorderDxfId="93">
  <autoFilter ref="A61:W90" xr:uid="{4F93FDD4-0797-4F21-8225-FCA992F3286E}"/>
  <tableColumns count="23">
    <tableColumn id="1" xr3:uid="{48139812-2D3A-4942-8C1F-6A9AEB2471DE}" name="Basecase scenario (GWh)" dataDxfId="92"/>
    <tableColumn id="2" xr3:uid="{3317153E-530D-4EAD-B73B-04A54594DD24}" name="2020" dataDxfId="91"/>
    <tableColumn id="3" xr3:uid="{80D7CC6C-CDB9-4DE4-99B5-6E01B0E4809B}" name="2021" dataDxfId="90"/>
    <tableColumn id="4" xr3:uid="{32F7AC6A-055C-46A7-9868-004C3CBF5966}" name="2022" dataDxfId="89"/>
    <tableColumn id="5" xr3:uid="{9A716A84-EB61-4750-BA2E-82BCEEF26E4D}" name="2023" dataDxfId="88"/>
    <tableColumn id="6" xr3:uid="{A87DC38C-FD46-4493-B9ED-EACD97EA1996}" name="2024" dataDxfId="87"/>
    <tableColumn id="7" xr3:uid="{A63DE9B4-1838-4252-95F8-3285E75C8458}" name="2025" dataDxfId="86"/>
    <tableColumn id="8" xr3:uid="{A96FA75F-750D-46A2-8FC8-22272F5155ED}" name="2026" dataDxfId="85"/>
    <tableColumn id="9" xr3:uid="{CC563F7E-647F-4E4A-BEAF-3C2ECE93A561}" name="2027" dataDxfId="84"/>
    <tableColumn id="10" xr3:uid="{675A4C59-AE94-40E4-AEA8-F38F64AC2A32}" name="2028" dataDxfId="83"/>
    <tableColumn id="11" xr3:uid="{8D81BF5F-108F-428A-97DB-40981AC47970}" name="2029" dataDxfId="82"/>
    <tableColumn id="12" xr3:uid="{9E491CF4-2AE7-4E65-9CDB-2FC3F6A4AF5B}" name="2030" dataDxfId="81"/>
    <tableColumn id="13" xr3:uid="{85BA4C5C-2CF5-424F-A10A-95941C714BD5}" name="2020%" dataDxfId="80"/>
    <tableColumn id="14" xr3:uid="{F8D6C861-032F-420B-8540-3786B89B1AF2}" name="2021%" dataDxfId="79"/>
    <tableColumn id="15" xr3:uid="{B608762F-5AB8-475D-95AD-7E6CA2471340}" name="2022%" dataDxfId="78"/>
    <tableColumn id="16" xr3:uid="{20216196-0BD1-4426-BAA4-3EC896101344}" name="2023%" dataDxfId="77"/>
    <tableColumn id="17" xr3:uid="{DFD03665-70BB-43B0-B3EC-9F871CF06E15}" name="2024%" dataDxfId="76"/>
    <tableColumn id="18" xr3:uid="{26CB5B1A-52BD-4603-A84C-ECF72C4231F9}" name="2025%" dataDxfId="75"/>
    <tableColumn id="19" xr3:uid="{8F2418DE-BDE4-4EF1-9FFA-5B0C42F160CD}" name="2026%" dataDxfId="74"/>
    <tableColumn id="20" xr3:uid="{D0744843-F6ED-4DB4-83D5-580416AF53AF}" name="2027%" dataDxfId="73"/>
    <tableColumn id="21" xr3:uid="{5AC7CAD8-6089-4341-AD82-6991DD57C54F}" name="2028%" dataDxfId="72"/>
    <tableColumn id="22" xr3:uid="{2A672618-5981-4E06-AB79-C7C10C67B375}" name="2029%" dataDxfId="71"/>
    <tableColumn id="23" xr3:uid="{24248541-F64B-4881-8C29-7CD52215621B}" name="2030%" dataDxfId="7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664AB5B9-8223-4161-8C31-10504E295369}" name="Tabella85193" displayName="Tabella85193" ref="A172:AF178" totalsRowShown="0">
  <autoFilter ref="A172:AF178" xr:uid="{664AB5B9-8223-4161-8C31-10504E295369}"/>
  <tableColumns count="32">
    <tableColumn id="1" xr3:uid="{E2A9F0BE-E33F-4F86-BB35-68A915F75474}" name="Basecase scenario (GWh)" dataDxfId="69"/>
    <tableColumn id="2" xr3:uid="{EC0D576B-2B2E-4B93-B5A4-34138DD8065B}" name="2020" dataDxfId="68"/>
    <tableColumn id="3" xr3:uid="{81C8C3DD-F8CB-4298-8A81-17B595FF5882}" name="2021" dataDxfId="67"/>
    <tableColumn id="4" xr3:uid="{7E1EAFE3-46B1-451A-B682-B5A291FC6CCD}" name="2022" dataDxfId="66"/>
    <tableColumn id="5" xr3:uid="{33F5C974-2B70-48DE-8889-85AF566DAA3D}" name="2023" dataDxfId="65"/>
    <tableColumn id="6" xr3:uid="{1BEFC439-9F93-4A89-8184-2F77A662B597}" name="2024" dataDxfId="64"/>
    <tableColumn id="7" xr3:uid="{352251D0-AEB8-4D16-B107-8F0C3837F0E4}" name="2025" dataDxfId="63"/>
    <tableColumn id="8" xr3:uid="{319D914E-DC4B-4CFC-8F91-7A7DDDCF5813}" name="2026" dataDxfId="62"/>
    <tableColumn id="9" xr3:uid="{A3E1CADE-58EA-4488-AB24-84070F446716}" name="2027" dataDxfId="61"/>
    <tableColumn id="10" xr3:uid="{DA99801C-BBAC-4A4A-82FC-F24F19370BA6}" name="2028" dataDxfId="60"/>
    <tableColumn id="11" xr3:uid="{C271FBCF-7E95-4066-BEE5-7CD50FD2A991}" name="2029" dataDxfId="59"/>
    <tableColumn id="12" xr3:uid="{DDA292F1-FEBE-4854-971E-B2DB4D039E8F}" name="2030" dataDxfId="58"/>
    <tableColumn id="13" xr3:uid="{45BEBC99-3903-4FB7-85CD-10B0F1D64D02}" name="2031" dataDxfId="57"/>
    <tableColumn id="14" xr3:uid="{6946B59F-8F71-4474-9B73-56E3ABE7DF82}" name="2032" dataDxfId="56"/>
    <tableColumn id="15" xr3:uid="{638423B6-A4D4-4C6E-9972-45F15F09ED4A}" name="2033" dataDxfId="55"/>
    <tableColumn id="16" xr3:uid="{FD7ECA40-2D66-499D-8B6F-F911A967E3A9}" name="2034" dataDxfId="54"/>
    <tableColumn id="17" xr3:uid="{92409111-6C7C-45D8-A4E9-C8BCF6F6A402}" name="2035" dataDxfId="53"/>
    <tableColumn id="18" xr3:uid="{2E8A20B5-63DE-44CF-A64D-76DC4C4266E8}" name="2036" dataDxfId="52"/>
    <tableColumn id="19" xr3:uid="{CF160542-9245-4630-B4CD-012F9FE5ED49}" name="2037" dataDxfId="51"/>
    <tableColumn id="20" xr3:uid="{E45577AA-B6F8-4954-827C-90D6FC93B455}" name="2038" dataDxfId="50"/>
    <tableColumn id="21" xr3:uid="{1F77987C-4C60-4DFB-806A-895D75DB5E99}" name="2039" dataDxfId="49"/>
    <tableColumn id="22" xr3:uid="{A7BFC829-B4F3-4DA0-A2A8-37345617CD60}" name="2040" dataDxfId="48"/>
    <tableColumn id="23" xr3:uid="{2D11035A-2A70-405F-A610-9D04EE8DBEF0}" name="2041" dataDxfId="47"/>
    <tableColumn id="24" xr3:uid="{B8F981A0-4AB7-4FC5-82C3-88A0342CDDA5}" name="2042" dataDxfId="46"/>
    <tableColumn id="25" xr3:uid="{8554FAD6-D07E-4D4C-91C3-A06516C425E4}" name="2043" dataDxfId="45"/>
    <tableColumn id="26" xr3:uid="{B311AF05-DCBB-42EF-BD91-FAF4CA7296E8}" name="2044" dataDxfId="44"/>
    <tableColumn id="27" xr3:uid="{FF808BE0-EB37-467A-B72A-E4232727F9B7}" name="2045" dataDxfId="43"/>
    <tableColumn id="28" xr3:uid="{C36CC6BD-73FA-48EA-A3F2-3869B88E486B}" name="2046" dataDxfId="42"/>
    <tableColumn id="29" xr3:uid="{209F1040-EBD1-470A-B4CB-8DD93052F7C2}" name="2047" dataDxfId="41"/>
    <tableColumn id="30" xr3:uid="{7B5F925E-7D7E-405F-B787-EB114834EA08}" name="2048" dataDxfId="40"/>
    <tableColumn id="31" xr3:uid="{3D310EC3-1588-46C2-81E9-71B7237585F3}" name="2049" dataDxfId="39"/>
    <tableColumn id="32" xr3:uid="{8AEF4C14-0DCA-4C3C-BBF5-878D1D2D6182}" name="2050" dataDxfId="3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8C53EAB9-06A0-4957-B165-CBD578EF0B84}" name="Table93" displayName="Table93" ref="B180:H211" totalsRowShown="0" headerRowDxfId="37">
  <autoFilter ref="B180:H211" xr:uid="{8C53EAB9-06A0-4957-B165-CBD578EF0B84}"/>
  <tableColumns count="7">
    <tableColumn id="1" xr3:uid="{AE97F515-8E26-45EE-8AFA-C986B905744E}" name="Basecase scenario (GWh)"/>
    <tableColumn id="2" xr3:uid="{059C5736-B5B8-4A5A-9B65-AB5572A2F29D}" name="Export"/>
    <tableColumn id="3" xr3:uid="{8CD6BD6D-3259-408C-9C05-A4FB3CC5A8B5}" name="Primary"/>
    <tableColumn id="4" xr3:uid="{3B231285-185D-433A-9375-CACB103D29D0}" name="Transport"/>
    <tableColumn id="5" xr3:uid="{53F656C7-5D71-4C57-87C1-0D5E47C46620}" name="Industry"/>
    <tableColumn id="6" xr3:uid="{BE7BC30B-AEDE-4F82-BB01-4A1A0B0EC9D0}" name="Residential"/>
    <tableColumn id="7" xr3:uid="{BACD8F76-99F9-48A6-B212-20F0E6976206}" name="Servic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6A9BE0F-1897-4E97-8118-35E1802BB6C1}" name="Tabella33" displayName="Tabella33" ref="B3:BB43" totalsRowShown="0">
  <autoFilter ref="B3:BB43" xr:uid="{66A9BE0F-1897-4E97-8118-35E1802BB6C1}"/>
  <tableColumns count="53">
    <tableColumn id="1" xr3:uid="{D7160DD7-5867-4286-9D5F-721985031370}" name="PNIEC + Green Deal scenario (GWh)"/>
    <tableColumn id="2" xr3:uid="{6352F8EB-895F-4344-8AE9-A74E03792C64}" name="2020"/>
    <tableColumn id="3" xr3:uid="{3D0E7A1F-4810-4981-9C6A-83DA7A20E06D}" name="2021"/>
    <tableColumn id="4" xr3:uid="{85A3987F-CD66-46BE-B80F-0F9076F8EDB8}" name="2022"/>
    <tableColumn id="5" xr3:uid="{F3DAEA94-A80F-4E3B-AD9A-03FCC4FA42E4}" name="2023"/>
    <tableColumn id="6" xr3:uid="{0EC526DE-E248-4E65-9842-9F9628362F11}" name="2024"/>
    <tableColumn id="7" xr3:uid="{0DA8F753-9540-470D-B851-83E983780A6A}" name="2025"/>
    <tableColumn id="8" xr3:uid="{D01CC8F2-3540-49CB-991A-7F6F2C760BE4}" name="2026"/>
    <tableColumn id="9" xr3:uid="{E8D69735-7642-4095-B931-FB86E4F52FA6}" name="2027"/>
    <tableColumn id="10" xr3:uid="{2CA8AC73-E60D-4DB1-9DD0-4BB9A0CB6F6B}" name="2028"/>
    <tableColumn id="11" xr3:uid="{D779BE3E-BFF9-4F5D-B116-526A3CA670D3}" name="2029"/>
    <tableColumn id="12" xr3:uid="{1418D1E3-2E6F-4E63-AF72-A5CFFD9C4DF8}" name="2030"/>
    <tableColumn id="24" xr3:uid="{D2DF8AEE-D7CF-44BF-96BF-096E7BD945E0}" name="2031"/>
    <tableColumn id="25" xr3:uid="{15FADBB3-197E-4409-89DD-377916CC55AA}" name="2032"/>
    <tableColumn id="26" xr3:uid="{3E36DFE8-66D9-45A3-8F35-3BA65B953AF3}" name="2033"/>
    <tableColumn id="27" xr3:uid="{5F71C168-7092-49A7-A96A-130EBC0E35AE}" name="2034"/>
    <tableColumn id="28" xr3:uid="{A6525A27-0922-492A-BAAD-3B8FA853FAD7}" name="2035"/>
    <tableColumn id="29" xr3:uid="{B296C198-AAE7-4215-8361-C0E42BFF2127}" name="2036"/>
    <tableColumn id="30" xr3:uid="{6B4C1C4C-3DCB-4BCF-BE1F-B68790D4F956}" name="2037"/>
    <tableColumn id="31" xr3:uid="{69079A9F-4B00-4DEB-9051-EFDF3AD90E4E}" name="2038"/>
    <tableColumn id="32" xr3:uid="{A5D627E9-FC4A-4EC9-9CE5-2C6594BDFD1B}" name="2039"/>
    <tableColumn id="33" xr3:uid="{B4DEA872-2EA2-4D9D-B644-171B5FE5F20E}" name="2040"/>
    <tableColumn id="34" xr3:uid="{936B84CE-9FCD-45D7-BAD4-2FF375AF0336}" name="2041"/>
    <tableColumn id="35" xr3:uid="{E0D450A3-8BE9-4E13-9515-29FC3CA84502}" name="2042"/>
    <tableColumn id="36" xr3:uid="{EDF66BAF-D792-4917-938C-806FCA858FAC}" name="2043"/>
    <tableColumn id="37" xr3:uid="{741D2344-4BC5-45DD-9C32-361AE5A97BB7}" name="2044"/>
    <tableColumn id="38" xr3:uid="{B89F5BD4-5720-4E66-8CB7-2F0577E55569}" name="2045"/>
    <tableColumn id="13" xr3:uid="{1AFC6C0A-F3AC-4A6E-8B48-F07E1E61812B}" name="2020%"/>
    <tableColumn id="14" xr3:uid="{F8E09B6F-B5D0-418C-9474-562B1EB56636}" name="2021%"/>
    <tableColumn id="15" xr3:uid="{F575CA3A-E6A0-46EB-A33D-B6DD9DD4FD12}" name="2022%"/>
    <tableColumn id="16" xr3:uid="{12156540-434E-4D98-BC0A-FB533057F0B3}" name="2023%"/>
    <tableColumn id="17" xr3:uid="{AC443DC4-309E-4D6B-974A-E21682A0EC56}" name="2024%"/>
    <tableColumn id="18" xr3:uid="{A671CEA7-72D1-4B53-BF81-6082403BF186}" name="2025%"/>
    <tableColumn id="19" xr3:uid="{D2277D36-4871-40C7-9C00-50A6DDEA0A55}" name="2026%"/>
    <tableColumn id="20" xr3:uid="{36012C8B-7EDA-4757-B1A2-089F29117159}" name="2027%"/>
    <tableColumn id="21" xr3:uid="{A81BF1F8-BBC0-425E-97E6-1B338BE005F0}" name="2028%"/>
    <tableColumn id="22" xr3:uid="{5314F292-0497-42E7-8A99-7C7268037EFA}" name="2029%"/>
    <tableColumn id="23" xr3:uid="{1904E1A5-7911-40C1-8250-3F0D97819D79}" name="2030%"/>
    <tableColumn id="40" xr3:uid="{82631C38-33BC-4A0B-B804-9486C9A7385C}" name="2031%"/>
    <tableColumn id="41" xr3:uid="{4381CFFA-3112-40AC-998F-6F41FF1425DF}" name="2032%"/>
    <tableColumn id="42" xr3:uid="{FEE9248E-4D9A-416F-9ACB-7F6F3B79BDCF}" name="2033%"/>
    <tableColumn id="43" xr3:uid="{D5B043D4-66FE-4048-8C54-3D54B13C3139}" name="2034%"/>
    <tableColumn id="44" xr3:uid="{35047C55-02B3-461A-A595-BBC56D1CB11E}" name="2035%"/>
    <tableColumn id="45" xr3:uid="{94E1DCA8-90D1-4D76-8573-4F5D51A7A6E6}" name="2036%"/>
    <tableColumn id="46" xr3:uid="{6D9AED71-33C9-40EC-AA41-F471C34B1B0B}" name="2037%"/>
    <tableColumn id="47" xr3:uid="{D14EEA42-BE18-4B3E-A992-187FEFA0C578}" name="2038%"/>
    <tableColumn id="48" xr3:uid="{524AE423-221B-4596-9DBF-031F4D151D88}" name="2039%"/>
    <tableColumn id="49" xr3:uid="{0FC095CC-E5FF-41EB-835B-C2039060F47F}" name="2040%"/>
    <tableColumn id="50" xr3:uid="{65631722-34B4-4576-81F0-C30D1D589BF4}" name="2041%"/>
    <tableColumn id="51" xr3:uid="{9D46E99C-D45C-49C7-B024-66D4A7E949C5}" name="2042%"/>
    <tableColumn id="52" xr3:uid="{A6AECBBA-0280-4CB4-B714-84694E94A463}" name="2043%"/>
    <tableColumn id="53" xr3:uid="{3EB5D5F1-C4C2-40CE-89BC-8DCCD21E2E86}" name="2044%"/>
    <tableColumn id="54" xr3:uid="{0DA2F02D-6E11-46E5-AE86-4B6265BB0DD5}" name="2045%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A627D4B-C4F0-41B3-B557-56D5E72EEAD7}" name="Tabella34" displayName="Tabella34" ref="B46:AB52" totalsRowShown="0">
  <autoFilter ref="B46:AB52" xr:uid="{1A627D4B-C4F0-41B3-B557-56D5E72EEAD7}"/>
  <tableColumns count="27">
    <tableColumn id="1" xr3:uid="{550D5A5A-7BBA-4FC2-B7C0-B7B21CA3EA14}" name="PNIEC + Green Deal scenario (GWh)"/>
    <tableColumn id="2" xr3:uid="{F2313820-40B8-4316-A42D-268C51C50656}" name="2020"/>
    <tableColumn id="3" xr3:uid="{26E3AA35-320E-4694-B0F2-BE7A24A7F8F4}" name="2021"/>
    <tableColumn id="4" xr3:uid="{9202DE04-8DD6-4121-AEA3-D5BB2AA0BA12}" name="2022"/>
    <tableColumn id="5" xr3:uid="{9853B890-DE25-4386-A889-4DA6C3AA104D}" name="2023"/>
    <tableColumn id="6" xr3:uid="{2B8F9CB2-E0D2-4A30-A6CD-A1F5F1F52F85}" name="2024"/>
    <tableColumn id="7" xr3:uid="{87E041CD-5EA0-4F8D-9106-56FB7F134975}" name="2025"/>
    <tableColumn id="8" xr3:uid="{1E6BA124-54E3-4D98-A535-795127F8E2C1}" name="2026"/>
    <tableColumn id="9" xr3:uid="{C0C24FC6-E538-4523-9E14-83BF74D9C9B9}" name="2027"/>
    <tableColumn id="10" xr3:uid="{9402245D-6008-43B2-9B6B-055ADB625C6C}" name="2028"/>
    <tableColumn id="11" xr3:uid="{5740A4E3-A02D-45E4-9195-08EAA9B9A442}" name="2029"/>
    <tableColumn id="12" xr3:uid="{29514404-A301-4B5E-B7DC-BFDEC0E805E7}" name="2030"/>
    <tableColumn id="13" xr3:uid="{2B8E60E6-95FC-4B1D-9B16-985BB3E57BD7}" name="2031"/>
    <tableColumn id="14" xr3:uid="{B35BE9DD-EA6D-47E9-989B-9D8ACE3DB9AA}" name="2032"/>
    <tableColumn id="15" xr3:uid="{029ED161-4B6C-4A3F-8C8B-6D1474DBDBFE}" name="2033"/>
    <tableColumn id="16" xr3:uid="{CA9438F5-EDAB-4E34-A365-066ACC04524F}" name="2034"/>
    <tableColumn id="17" xr3:uid="{60D67E01-1617-4020-B82B-AC01D737304A}" name="2035"/>
    <tableColumn id="18" xr3:uid="{C9AC2E23-8F73-4D1C-AEFC-9006565D8BF4}" name="2036"/>
    <tableColumn id="19" xr3:uid="{C84E9A0F-946F-4419-B049-8D9DEBAFF3E4}" name="2037"/>
    <tableColumn id="20" xr3:uid="{144F9CA9-2B0D-4178-B5C7-4CF6E8AF32A5}" name="2038"/>
    <tableColumn id="21" xr3:uid="{D61E40C6-C781-4EF9-8D62-89B2DA475996}" name="2039"/>
    <tableColumn id="22" xr3:uid="{FDB5E2D2-093F-40EB-8544-9BA1ECB57C14}" name="2040"/>
    <tableColumn id="23" xr3:uid="{8EABD2BA-8655-4C6F-A9F9-16334F3B8484}" name="2041"/>
    <tableColumn id="24" xr3:uid="{39374136-7DDF-45D9-9CEA-3CE4D371D0D4}" name="2042"/>
    <tableColumn id="25" xr3:uid="{D6B922D6-AD41-43E4-9798-361B69E0C49C}" name="2043"/>
    <tableColumn id="26" xr3:uid="{3E576554-6DC1-4B47-B92E-962556F04D74}" name="2044"/>
    <tableColumn id="27" xr3:uid="{AF7B7C8A-ACF1-48A0-B281-1759E3EB9357}" name="204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669BBF0-DEF0-4C4B-9BB6-F69BF0CBD683}" name="Tabella35" displayName="Tabella35" ref="B54:H80" totalsRowShown="0">
  <autoFilter ref="B54:H80" xr:uid="{6669BBF0-DEF0-4C4B-9BB6-F69BF0CBD683}"/>
  <tableColumns count="7">
    <tableColumn id="1" xr3:uid="{45D7BAEB-08DB-46BE-8DF5-81F55ED26D73}" name="Anno"/>
    <tableColumn id="2" xr3:uid="{FB382C55-88F3-4C0C-B2C5-A6A0CA8541BF}" name="Export"/>
    <tableColumn id="3" xr3:uid="{88C12C51-87CB-422B-8C5D-41E750F5291E}" name="Primary"/>
    <tableColumn id="4" xr3:uid="{779D1852-445C-4698-AF1F-B24F22618BFE}" name="Transport"/>
    <tableColumn id="5" xr3:uid="{D1709691-60C9-4BD0-9771-20E2C59B9C1F}" name="Industry"/>
    <tableColumn id="6" xr3:uid="{24DE2538-2CED-4C78-BDAC-6A8FEAE64604}" name="Residential"/>
    <tableColumn id="7" xr3:uid="{392972DF-DEC5-419A-8504-959D9F490E9C}" name="Servic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DB31FCA-350F-4D56-A92E-817174F5D23E}" name="Tabella3346" displayName="Tabella3346" ref="B6:BB45" totalsRowShown="0">
  <autoFilter ref="B6:BB45" xr:uid="{66A9BE0F-1897-4E97-8118-35E1802BB6C1}"/>
  <tableColumns count="53">
    <tableColumn id="1" xr3:uid="{84435D8E-0952-447F-B40D-36541D0C7323}" name="PNIEC + Green Deal scenario (GWh)"/>
    <tableColumn id="2" xr3:uid="{CF886A91-B9AC-47EC-911E-C43C2AEE31F5}" name="2020"/>
    <tableColumn id="3" xr3:uid="{81CF561D-AB81-4912-9D3E-5D8F8683DFB2}" name="2021"/>
    <tableColumn id="4" xr3:uid="{0084644C-787F-4DFC-BD9F-0AF9F6403302}" name="2022"/>
    <tableColumn id="5" xr3:uid="{A7DC52B2-7796-46A3-A6D7-D01948FDCED7}" name="2023"/>
    <tableColumn id="6" xr3:uid="{6E6FEAAD-56F3-4985-9EC6-D24EC29979F8}" name="2024"/>
    <tableColumn id="7" xr3:uid="{F7AF461A-03C9-4D01-B619-717B5CBB1B7E}" name="2025"/>
    <tableColumn id="8" xr3:uid="{0DD19255-6F91-43D2-A2B8-0C34D24C4563}" name="2026"/>
    <tableColumn id="9" xr3:uid="{A02ADC16-DCD8-4166-BEA2-4745919C55D1}" name="2027"/>
    <tableColumn id="10" xr3:uid="{D25962D6-9CBA-4D8C-9F76-5C6A9782DB1C}" name="2028"/>
    <tableColumn id="11" xr3:uid="{B59C54C7-7C7C-4A00-B09D-88DA71EDA1E6}" name="2029"/>
    <tableColumn id="12" xr3:uid="{D2C0CC8B-6B45-40F4-9B32-C716BE96D299}" name="2030"/>
    <tableColumn id="24" xr3:uid="{C64E3A1F-4FF4-4DB9-A649-853AE598D1EA}" name="2031"/>
    <tableColumn id="25" xr3:uid="{E05115F6-3500-46B3-9C7A-E825EDBD8F1B}" name="2032"/>
    <tableColumn id="26" xr3:uid="{92D7FC0B-6412-4C15-AC89-5EE9B7411912}" name="2033"/>
    <tableColumn id="27" xr3:uid="{45AB5B37-0502-4A6C-896B-1715A1E367F4}" name="2034"/>
    <tableColumn id="28" xr3:uid="{46FF27C1-0EEB-466D-B8B0-3A7C3F93D4E6}" name="2035"/>
    <tableColumn id="29" xr3:uid="{F277CE15-013A-4419-872B-A9FE5FF2D199}" name="2036"/>
    <tableColumn id="30" xr3:uid="{E0908229-CC9B-4CA1-8D45-E23480B61217}" name="2037"/>
    <tableColumn id="31" xr3:uid="{60745F54-C775-47D0-837A-F9B642FD54BE}" name="2038"/>
    <tableColumn id="32" xr3:uid="{5EE2657F-CF66-4221-9E04-3BB2A04B310A}" name="2039"/>
    <tableColumn id="33" xr3:uid="{36FA8F75-61E6-45C7-AC72-2EF68763FF84}" name="2040"/>
    <tableColumn id="34" xr3:uid="{B9AC2BEE-6929-4F75-9D35-6AEF28EAC384}" name="2041"/>
    <tableColumn id="35" xr3:uid="{72055458-C1F3-4FB8-9A88-BE084792A564}" name="2042"/>
    <tableColumn id="36" xr3:uid="{338E13D5-2823-4310-A3D4-762D31F4A893}" name="2043"/>
    <tableColumn id="37" xr3:uid="{490B5EA9-527A-4FE2-8AEC-75349C833602}" name="2044"/>
    <tableColumn id="38" xr3:uid="{6BD5276F-E4A1-4298-8B9E-C8F628DE7AC0}" name="2045"/>
    <tableColumn id="13" xr3:uid="{0C942F61-659E-4E28-A592-B003C6E0FDF2}" name="2020%"/>
    <tableColumn id="14" xr3:uid="{CF926953-0C28-4EA9-903D-FA4E50E00246}" name="2021%"/>
    <tableColumn id="15" xr3:uid="{36D76CFA-64B8-4DA5-8B60-9BFEE387BCE8}" name="2022%"/>
    <tableColumn id="16" xr3:uid="{920A9EA7-7439-4704-B51D-318206B34D29}" name="2023%"/>
    <tableColumn id="17" xr3:uid="{A6EE813B-A856-47D6-9117-C0DE98040500}" name="2024%"/>
    <tableColumn id="18" xr3:uid="{3FA72BE9-06CE-4B20-BD57-D80848C5707B}" name="2025%"/>
    <tableColumn id="19" xr3:uid="{49A6A9A2-FA2D-4BBF-83E0-F397C79D4BD5}" name="2026%"/>
    <tableColumn id="20" xr3:uid="{0BCAE812-7653-4F1F-8667-883592A81BF7}" name="2027%"/>
    <tableColumn id="21" xr3:uid="{5BEE72A7-EFE9-4387-B6B0-CCD62FFD0D8A}" name="2028%"/>
    <tableColumn id="22" xr3:uid="{2B9C741D-471D-4EEE-AE9A-99B1E7A52522}" name="2029%"/>
    <tableColumn id="23" xr3:uid="{387BE12B-CDAC-4267-8CF9-402A5569319D}" name="2030%"/>
    <tableColumn id="40" xr3:uid="{69FB60F6-D7EC-4659-AD76-0E635446D13D}" name="2031%"/>
    <tableColumn id="41" xr3:uid="{64F487D0-A29C-4705-85F8-52AC718DB7A2}" name="2032%"/>
    <tableColumn id="42" xr3:uid="{3A6C6E2F-DE8E-4ED3-8D20-F3AEDCF013AC}" name="2033%"/>
    <tableColumn id="43" xr3:uid="{A8254B15-5AA7-4C76-A2B4-4FF9937BC814}" name="2034%"/>
    <tableColumn id="44" xr3:uid="{3ECE1C5E-C22B-4F6F-9E47-CC4D946BF64E}" name="2035%"/>
    <tableColumn id="45" xr3:uid="{F18C6558-936B-4A43-B75F-72A0E0A391CC}" name="2036%"/>
    <tableColumn id="46" xr3:uid="{04DF69CC-0956-430E-8ABD-84F1C484C004}" name="2037%"/>
    <tableColumn id="47" xr3:uid="{154016ED-ADFD-46F4-911F-9DDB0E6B2E70}" name="2038%"/>
    <tableColumn id="48" xr3:uid="{2C65C698-D963-4994-85CC-9139A46EE974}" name="2039%"/>
    <tableColumn id="49" xr3:uid="{F187874B-AEE7-44AA-9ABC-F959787ED0FC}" name="2040%"/>
    <tableColumn id="50" xr3:uid="{C7CEE998-95AD-452D-8DAD-C8BA08874C94}" name="2041%"/>
    <tableColumn id="51" xr3:uid="{11370C84-38F1-4679-A6D1-E2B1FB72168D}" name="2042%"/>
    <tableColumn id="52" xr3:uid="{DF3A699E-8209-413C-A4A8-A1C721C4C27E}" name="2043%"/>
    <tableColumn id="53" xr3:uid="{7B55F3CA-91A2-491E-9E72-FFD9B16CD0C4}" name="2044%"/>
    <tableColumn id="54" xr3:uid="{D7E0A4D9-840B-464C-8FC4-5D810AAE7C5E}" name="2045%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AEED6C2-28E5-4BC8-B7DD-E5CB921FBC9E}" name="Tabella3447" displayName="Tabella3447" ref="B48:AB54" totalsRowShown="0">
  <autoFilter ref="B48:AB54" xr:uid="{1A627D4B-C4F0-41B3-B557-56D5E72EEAD7}"/>
  <tableColumns count="27">
    <tableColumn id="1" xr3:uid="{13DE0D54-5ECB-43DC-8EBC-BC987DB15E54}" name="PNIEC + Green Deal scenario (GWh)"/>
    <tableColumn id="2" xr3:uid="{1C47BF1E-300B-41DE-884F-AD90A99E2C89}" name="2020"/>
    <tableColumn id="3" xr3:uid="{2237B1AD-0A88-4AC1-9469-3C38051B7B9E}" name="2021"/>
    <tableColumn id="4" xr3:uid="{58F6A089-DEAA-4BFA-B334-3C63DEC88923}" name="2022"/>
    <tableColumn id="5" xr3:uid="{968CC927-D795-4FFA-8F2A-DC56493064EF}" name="2023"/>
    <tableColumn id="6" xr3:uid="{1B602F3F-9B8E-469A-BA97-C1EEC318BA8C}" name="2024"/>
    <tableColumn id="7" xr3:uid="{4E8084A1-6A22-4AD4-943F-205D491A2942}" name="2025"/>
    <tableColumn id="8" xr3:uid="{0580BC36-5A74-47A5-9A00-66B0FAC67808}" name="2026"/>
    <tableColumn id="9" xr3:uid="{D760303B-71F7-4B0F-8BDE-88A0BDC5601B}" name="2027"/>
    <tableColumn id="10" xr3:uid="{41B6EE29-F1CF-4A7A-A01D-85761BAD1B24}" name="2028"/>
    <tableColumn id="11" xr3:uid="{A49A00C3-65D7-4745-9501-074A9247C526}" name="2029"/>
    <tableColumn id="12" xr3:uid="{2A162E23-F335-408A-8F15-ACEDA65B27CB}" name="2030"/>
    <tableColumn id="13" xr3:uid="{66A7D483-C81F-4C60-BB0D-99B95CBF594E}" name="2031"/>
    <tableColumn id="14" xr3:uid="{2CB8E73B-3933-4A76-B3E5-80CBB17F34C1}" name="2032"/>
    <tableColumn id="15" xr3:uid="{332936D4-427C-47B9-A5E9-F9CE0A835B93}" name="2033"/>
    <tableColumn id="16" xr3:uid="{0ADFA1D8-D696-4786-91D7-78C5F5DE2309}" name="2034"/>
    <tableColumn id="17" xr3:uid="{3AEA6CFF-417A-4C01-A9E3-BEA2F72649A4}" name="2035"/>
    <tableColumn id="18" xr3:uid="{12A56BE8-5DB5-4B9F-8F17-51F1AC7AEEB9}" name="2036"/>
    <tableColumn id="19" xr3:uid="{058718A5-9C36-406E-A5B0-5AD455A77AF8}" name="2037"/>
    <tableColumn id="20" xr3:uid="{368944EE-D151-44CA-B249-3B8BA3AD3AD2}" name="2038"/>
    <tableColumn id="21" xr3:uid="{85763E5B-D8E0-48FA-9273-A3521AE352D0}" name="2039"/>
    <tableColumn id="22" xr3:uid="{2401895A-DE0E-4439-9FD9-D93131654DAB}" name="2040"/>
    <tableColumn id="23" xr3:uid="{637D19C6-A546-45D2-ACD0-30B85AB1D54B}" name="2041"/>
    <tableColumn id="24" xr3:uid="{64F6E1F1-4238-430C-BC04-6CFE034124CC}" name="2042"/>
    <tableColumn id="25" xr3:uid="{27A828B2-E643-47E9-83FE-759A3048F183}" name="2043"/>
    <tableColumn id="26" xr3:uid="{9551AEB4-939B-454B-A2A2-64A7BF96050C}" name="2044"/>
    <tableColumn id="27" xr3:uid="{789FA4A7-065D-48AF-BB24-4821ABA6200F}" name="20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se-web.it/wp-content/uploads/2022/05/20009857.pdf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0685-2088-4ED1-848D-C3542E094344}">
  <dimension ref="B3:P46"/>
  <sheetViews>
    <sheetView topLeftCell="B7" zoomScale="83" zoomScaleNormal="100" workbookViewId="0">
      <selection activeCell="F9" sqref="F9:F40"/>
    </sheetView>
  </sheetViews>
  <sheetFormatPr defaultRowHeight="14.5" x14ac:dyDescent="0.35"/>
  <cols>
    <col min="2" max="2" width="39.81640625" bestFit="1" customWidth="1"/>
    <col min="5" max="5" width="19.6328125" customWidth="1"/>
    <col min="6" max="6" width="31.1796875" customWidth="1"/>
    <col min="9" max="9" width="81.1796875" bestFit="1" customWidth="1"/>
    <col min="10" max="10" width="9.81640625" bestFit="1" customWidth="1"/>
  </cols>
  <sheetData>
    <row r="3" spans="2:16" x14ac:dyDescent="0.35">
      <c r="I3" s="179" t="s">
        <v>149</v>
      </c>
      <c r="J3" s="179"/>
      <c r="K3" s="179"/>
      <c r="L3" s="179"/>
      <c r="M3" s="179"/>
      <c r="N3" s="179"/>
      <c r="O3" s="179"/>
      <c r="P3" s="179"/>
    </row>
    <row r="4" spans="2:16" x14ac:dyDescent="0.35">
      <c r="B4" t="s">
        <v>132</v>
      </c>
      <c r="I4" t="s">
        <v>145</v>
      </c>
    </row>
    <row r="5" spans="2:16" x14ac:dyDescent="0.35">
      <c r="I5" s="83" t="s">
        <v>146</v>
      </c>
      <c r="J5" s="84">
        <v>2020</v>
      </c>
      <c r="K5" s="84">
        <v>2025</v>
      </c>
      <c r="L5" s="84">
        <v>2030</v>
      </c>
      <c r="M5" s="84">
        <v>2035</v>
      </c>
      <c r="N5" s="84">
        <v>2040</v>
      </c>
      <c r="O5" s="84">
        <v>2045</v>
      </c>
      <c r="P5" s="84">
        <v>2050</v>
      </c>
    </row>
    <row r="6" spans="2:16" x14ac:dyDescent="0.35">
      <c r="B6" s="69" t="s">
        <v>133</v>
      </c>
      <c r="C6" s="69"/>
      <c r="E6" s="69" t="s">
        <v>134</v>
      </c>
      <c r="F6" s="69"/>
      <c r="I6" s="85" t="s">
        <v>5</v>
      </c>
      <c r="J6" s="86">
        <v>23913.930670927435</v>
      </c>
      <c r="K6" s="86">
        <v>24997.399234721997</v>
      </c>
      <c r="L6" s="86">
        <v>24069.760713493644</v>
      </c>
      <c r="M6" s="86">
        <v>22618.627359193582</v>
      </c>
      <c r="N6" s="87">
        <v>21576.071844062877</v>
      </c>
      <c r="O6" s="87">
        <v>20844.420077178362</v>
      </c>
      <c r="P6" s="87">
        <v>21779.992242959248</v>
      </c>
    </row>
    <row r="7" spans="2:16" x14ac:dyDescent="0.35">
      <c r="B7" s="69" t="s">
        <v>135</v>
      </c>
      <c r="C7" s="72" t="s">
        <v>16</v>
      </c>
      <c r="E7" s="69" t="s">
        <v>135</v>
      </c>
      <c r="F7" s="72" t="s">
        <v>16</v>
      </c>
      <c r="I7" s="85" t="s">
        <v>4</v>
      </c>
      <c r="J7" s="86">
        <v>32076.565694613819</v>
      </c>
      <c r="K7" s="86">
        <v>29607.078884977025</v>
      </c>
      <c r="L7" s="86">
        <v>27624.258608783653</v>
      </c>
      <c r="M7" s="87">
        <v>26664.787426919138</v>
      </c>
      <c r="N7" s="87">
        <v>25608.909959017812</v>
      </c>
      <c r="O7" s="87">
        <v>24500.383978078342</v>
      </c>
      <c r="P7" s="87">
        <v>23375.011701301904</v>
      </c>
    </row>
    <row r="8" spans="2:16" x14ac:dyDescent="0.35">
      <c r="B8" s="69" t="s">
        <v>136</v>
      </c>
      <c r="C8" s="73">
        <f>103057.147*11.63</f>
        <v>1198554.6196099999</v>
      </c>
      <c r="E8" s="69" t="s">
        <v>136</v>
      </c>
      <c r="F8" s="73">
        <f>103057.147*11.63</f>
        <v>1198554.6196099999</v>
      </c>
      <c r="I8" s="88" t="s">
        <v>147</v>
      </c>
      <c r="J8" s="86">
        <v>18342.290154795264</v>
      </c>
      <c r="K8" s="86">
        <v>21007.122535582872</v>
      </c>
      <c r="L8" s="86">
        <v>20005.044489337124</v>
      </c>
      <c r="M8" s="87">
        <v>18210.142044777938</v>
      </c>
      <c r="N8" s="87">
        <v>17622.378815786113</v>
      </c>
      <c r="O8" s="87">
        <v>17272.014979919364</v>
      </c>
      <c r="P8" s="87">
        <v>16765.387668658717</v>
      </c>
    </row>
    <row r="9" spans="2:16" x14ac:dyDescent="0.35">
      <c r="B9" s="74" t="s">
        <v>137</v>
      </c>
      <c r="C9" s="75">
        <f>(2758.885+202.273+44.867)*11.63</f>
        <v>34960.070750000006</v>
      </c>
      <c r="D9" s="63"/>
      <c r="E9" s="80" t="s">
        <v>142</v>
      </c>
      <c r="F9" s="81">
        <f>SUM(F10:F14)</f>
        <v>356529.17533000006</v>
      </c>
      <c r="I9" s="88" t="s">
        <v>6</v>
      </c>
      <c r="J9" s="86">
        <v>27820.093551684437</v>
      </c>
      <c r="K9" s="86">
        <v>34790.159368343629</v>
      </c>
      <c r="L9" s="86">
        <v>31588.673194791711</v>
      </c>
      <c r="M9" s="87">
        <v>29642.678610953106</v>
      </c>
      <c r="N9" s="87">
        <v>27190.686167155171</v>
      </c>
      <c r="O9" s="87">
        <v>25134.911571070228</v>
      </c>
      <c r="P9" s="87">
        <v>24177.77644503702</v>
      </c>
    </row>
    <row r="10" spans="2:16" x14ac:dyDescent="0.35">
      <c r="B10" s="76" t="s">
        <v>29</v>
      </c>
      <c r="C10" s="75">
        <f>(528.572+14.037+0)*11.63</f>
        <v>6310.5426700000007</v>
      </c>
      <c r="E10" s="76" t="s">
        <v>143</v>
      </c>
      <c r="F10" s="81">
        <f>6289.333*11.63</f>
        <v>73144.942790000001</v>
      </c>
      <c r="I10" s="89"/>
      <c r="J10" s="86"/>
      <c r="K10" s="86"/>
      <c r="L10" s="86"/>
      <c r="M10" s="87"/>
      <c r="N10" s="87"/>
      <c r="O10" s="87"/>
      <c r="P10" s="87"/>
    </row>
    <row r="11" spans="2:16" x14ac:dyDescent="0.35">
      <c r="B11" s="77" t="s">
        <v>28</v>
      </c>
      <c r="C11" s="63">
        <f>(135.904+0+0)*11.63</f>
        <v>1580.5635200000002</v>
      </c>
      <c r="E11" s="77" t="s">
        <v>77</v>
      </c>
      <c r="F11" s="81">
        <f>869.621*11.63</f>
        <v>10113.692230000001</v>
      </c>
      <c r="I11" s="2" t="s">
        <v>148</v>
      </c>
    </row>
    <row r="12" spans="2:16" x14ac:dyDescent="0.35">
      <c r="B12" s="76" t="s">
        <v>30</v>
      </c>
      <c r="C12" s="75">
        <f>(2027.371+159.344+30.126)*11.63</f>
        <v>25781.860830000005</v>
      </c>
      <c r="E12" s="76" t="s">
        <v>29</v>
      </c>
      <c r="F12" s="81">
        <f>5693.177*11.63</f>
        <v>66211.648509999999</v>
      </c>
      <c r="I12" s="14" t="s">
        <v>35</v>
      </c>
    </row>
    <row r="13" spans="2:16" x14ac:dyDescent="0.35">
      <c r="B13" s="78" t="s">
        <v>77</v>
      </c>
      <c r="C13" s="79">
        <f>(14.427+0+14.74)*11.63</f>
        <v>339.21221000000003</v>
      </c>
      <c r="E13" s="77" t="s">
        <v>9</v>
      </c>
      <c r="F13" s="81">
        <f>15932.597*11.63</f>
        <v>185296.10311</v>
      </c>
      <c r="I13" s="2" t="s">
        <v>158</v>
      </c>
    </row>
    <row r="14" spans="2:16" x14ac:dyDescent="0.35">
      <c r="B14" s="78" t="s">
        <v>138</v>
      </c>
      <c r="C14" s="79">
        <f>(52.611+28.891+0)*11.63</f>
        <v>947.86825999999996</v>
      </c>
      <c r="E14" s="76" t="s">
        <v>30</v>
      </c>
      <c r="F14" s="81">
        <f>1871.263*11.63</f>
        <v>21762.788690000001</v>
      </c>
      <c r="I14" s="158">
        <f>[1]Old!B54/[1]Old!B34</f>
        <v>0.16224235560588901</v>
      </c>
    </row>
    <row r="15" spans="2:16" x14ac:dyDescent="0.35">
      <c r="B15" s="74"/>
      <c r="C15" s="75"/>
      <c r="E15" s="74"/>
      <c r="F15" s="75"/>
    </row>
    <row r="16" spans="2:16" x14ac:dyDescent="0.35">
      <c r="B16" s="80" t="s">
        <v>139</v>
      </c>
      <c r="C16" s="81">
        <f>28976.458*11.63</f>
        <v>336996.20653999998</v>
      </c>
      <c r="D16" s="63"/>
      <c r="E16" s="74" t="s">
        <v>5</v>
      </c>
      <c r="F16" s="75">
        <f>SUM(F17:F22)</f>
        <v>272762.75125000003</v>
      </c>
    </row>
    <row r="17" spans="2:16" x14ac:dyDescent="0.35">
      <c r="B17" s="77" t="s">
        <v>29</v>
      </c>
      <c r="C17" s="81">
        <f>869.663*11.63</f>
        <v>10114.180690000001</v>
      </c>
      <c r="E17" s="76" t="s">
        <v>138</v>
      </c>
      <c r="F17" s="75">
        <f>435.097*11.63</f>
        <v>5060.1781099999998</v>
      </c>
      <c r="I17" s="83" t="s">
        <v>135</v>
      </c>
      <c r="J17" s="84">
        <v>2020</v>
      </c>
      <c r="K17" s="84">
        <v>2025</v>
      </c>
      <c r="L17" s="84">
        <v>2030</v>
      </c>
      <c r="M17" s="84">
        <v>2035</v>
      </c>
      <c r="N17" s="84">
        <v>2040</v>
      </c>
      <c r="O17" s="84">
        <v>2045</v>
      </c>
      <c r="P17" s="84">
        <v>2050</v>
      </c>
    </row>
    <row r="18" spans="2:16" x14ac:dyDescent="0.35">
      <c r="B18" s="76" t="s">
        <v>28</v>
      </c>
      <c r="C18" s="81">
        <f>967.168*11.63</f>
        <v>11248.163840000001</v>
      </c>
      <c r="E18" s="77" t="s">
        <v>77</v>
      </c>
      <c r="F18" s="75">
        <f>2687.311*11.63</f>
        <v>31253.426930000005</v>
      </c>
      <c r="I18" s="85" t="s">
        <v>5</v>
      </c>
      <c r="J18">
        <f>J6*11.63</f>
        <v>278119.01370288606</v>
      </c>
      <c r="K18">
        <f t="shared" ref="K18:P18" si="0">K6*11.63</f>
        <v>290719.75309981685</v>
      </c>
      <c r="L18">
        <f t="shared" si="0"/>
        <v>279931.31709793111</v>
      </c>
      <c r="M18">
        <f t="shared" si="0"/>
        <v>263054.63618742139</v>
      </c>
      <c r="N18">
        <f t="shared" si="0"/>
        <v>250929.71554645128</v>
      </c>
      <c r="O18">
        <f t="shared" si="0"/>
        <v>242420.60549758436</v>
      </c>
      <c r="P18">
        <f t="shared" si="0"/>
        <v>253301.30978561606</v>
      </c>
    </row>
    <row r="19" spans="2:16" x14ac:dyDescent="0.35">
      <c r="B19" s="77" t="s">
        <v>140</v>
      </c>
      <c r="C19" s="81">
        <f>1264.738*11.63</f>
        <v>14708.902940000002</v>
      </c>
      <c r="E19" s="76" t="s">
        <v>29</v>
      </c>
      <c r="F19" s="75">
        <f>10086.375*11.63</f>
        <v>117304.54125000001</v>
      </c>
      <c r="I19" s="85" t="s">
        <v>4</v>
      </c>
      <c r="J19">
        <f t="shared" ref="J19:P21" si="1">J7*11.63</f>
        <v>373050.45902835875</v>
      </c>
      <c r="K19">
        <f t="shared" si="1"/>
        <v>344330.32743228285</v>
      </c>
      <c r="L19">
        <f t="shared" si="1"/>
        <v>321270.12762015389</v>
      </c>
      <c r="M19">
        <f t="shared" si="1"/>
        <v>310111.47777506959</v>
      </c>
      <c r="N19">
        <f t="shared" si="1"/>
        <v>297831.6228233772</v>
      </c>
      <c r="O19">
        <f t="shared" si="1"/>
        <v>284939.46566505113</v>
      </c>
      <c r="P19">
        <f t="shared" si="1"/>
        <v>271851.38608614117</v>
      </c>
    </row>
    <row r="20" spans="2:16" x14ac:dyDescent="0.35">
      <c r="B20" s="76" t="s">
        <v>30</v>
      </c>
      <c r="C20" s="81">
        <f>25874.889*11.63</f>
        <v>300924.95906999998</v>
      </c>
      <c r="E20" s="77" t="s">
        <v>9</v>
      </c>
      <c r="F20" s="75">
        <f>8081.339*11.63</f>
        <v>93985.972570000013</v>
      </c>
      <c r="I20" s="88" t="s">
        <v>147</v>
      </c>
      <c r="J20">
        <f t="shared" si="1"/>
        <v>213320.83450026895</v>
      </c>
      <c r="K20">
        <f t="shared" si="1"/>
        <v>244312.83508882881</v>
      </c>
      <c r="L20">
        <f t="shared" si="1"/>
        <v>232658.66741099078</v>
      </c>
      <c r="M20">
        <f t="shared" si="1"/>
        <v>211783.95198076742</v>
      </c>
      <c r="N20">
        <f t="shared" si="1"/>
        <v>204948.26562759251</v>
      </c>
      <c r="O20">
        <f t="shared" si="1"/>
        <v>200873.53421646223</v>
      </c>
      <c r="P20">
        <f t="shared" si="1"/>
        <v>194981.4585865009</v>
      </c>
    </row>
    <row r="21" spans="2:16" x14ac:dyDescent="0.35">
      <c r="B21" s="77" t="s">
        <v>76</v>
      </c>
      <c r="C21" s="81">
        <v>0</v>
      </c>
      <c r="E21" s="76" t="s">
        <v>30</v>
      </c>
      <c r="F21" s="75">
        <f>1753.891*11.63</f>
        <v>20397.752330000003</v>
      </c>
      <c r="I21" s="88" t="s">
        <v>6</v>
      </c>
      <c r="J21">
        <f t="shared" si="1"/>
        <v>323547.68800609</v>
      </c>
      <c r="K21">
        <f t="shared" si="1"/>
        <v>404609.55345383642</v>
      </c>
      <c r="L21">
        <f t="shared" si="1"/>
        <v>367376.26925542764</v>
      </c>
      <c r="M21">
        <f t="shared" si="1"/>
        <v>344744.35224538465</v>
      </c>
      <c r="N21">
        <f t="shared" si="1"/>
        <v>316227.68012401467</v>
      </c>
      <c r="O21">
        <f t="shared" si="1"/>
        <v>292319.02157154679</v>
      </c>
      <c r="P21">
        <f t="shared" si="1"/>
        <v>281187.54005578056</v>
      </c>
    </row>
    <row r="22" spans="2:16" x14ac:dyDescent="0.35">
      <c r="B22" s="80"/>
      <c r="C22" s="81"/>
      <c r="E22" s="77" t="s">
        <v>141</v>
      </c>
      <c r="F22" s="75">
        <f>409.362*11.63</f>
        <v>4760.8800600000004</v>
      </c>
    </row>
    <row r="23" spans="2:16" x14ac:dyDescent="0.35">
      <c r="B23" s="74" t="s">
        <v>5</v>
      </c>
      <c r="C23" s="75">
        <f>23861.103*11.63</f>
        <v>277504.62789</v>
      </c>
      <c r="E23" s="77"/>
      <c r="F23" s="75"/>
      <c r="I23" s="52" t="s">
        <v>135</v>
      </c>
      <c r="J23" s="52">
        <v>2020</v>
      </c>
      <c r="K23" s="52">
        <v>2025</v>
      </c>
      <c r="L23" s="52">
        <v>2030</v>
      </c>
      <c r="M23" s="52">
        <v>2035</v>
      </c>
      <c r="N23" s="52">
        <v>2040</v>
      </c>
      <c r="O23" s="52">
        <v>2045</v>
      </c>
      <c r="P23" s="52">
        <v>2050</v>
      </c>
    </row>
    <row r="24" spans="2:16" x14ac:dyDescent="0.35">
      <c r="B24" s="76" t="s">
        <v>138</v>
      </c>
      <c r="C24" s="75">
        <f>435.097*11.63</f>
        <v>5060.1781099999998</v>
      </c>
      <c r="E24" s="80" t="s">
        <v>139</v>
      </c>
      <c r="F24" s="81">
        <f>SUM(F25:F28)</f>
        <v>336996.20653999998</v>
      </c>
      <c r="I24" t="s">
        <v>137</v>
      </c>
      <c r="J24" s="63">
        <f>J20*$I$14</f>
        <v>34609.674689137632</v>
      </c>
      <c r="K24" s="63">
        <f t="shared" ref="K24:P24" si="2">K20*$I$14</f>
        <v>39637.889869564686</v>
      </c>
      <c r="L24" s="63">
        <f t="shared" si="2"/>
        <v>37747.090252886228</v>
      </c>
      <c r="M24" s="63">
        <f t="shared" si="2"/>
        <v>34360.32724888419</v>
      </c>
      <c r="N24" s="63">
        <f t="shared" si="2"/>
        <v>33251.289392762061</v>
      </c>
      <c r="O24" s="63">
        <f t="shared" si="2"/>
        <v>32590.195370158977</v>
      </c>
      <c r="P24" s="63">
        <f t="shared" si="2"/>
        <v>31634.251140545999</v>
      </c>
    </row>
    <row r="25" spans="2:16" x14ac:dyDescent="0.35">
      <c r="B25" s="77" t="s">
        <v>77</v>
      </c>
      <c r="C25" s="75">
        <f>2687.311*11.63</f>
        <v>31253.426930000005</v>
      </c>
      <c r="E25" s="77" t="s">
        <v>29</v>
      </c>
      <c r="F25" s="81">
        <f>869.663*11.63</f>
        <v>10114.180690000001</v>
      </c>
      <c r="I25" t="s">
        <v>139</v>
      </c>
      <c r="J25" s="63">
        <f>J21</f>
        <v>323547.68800609</v>
      </c>
      <c r="K25">
        <v>404609.55345383642</v>
      </c>
      <c r="L25">
        <v>367376.26925542764</v>
      </c>
      <c r="M25">
        <v>344744.35224538465</v>
      </c>
      <c r="N25">
        <v>316227.68012401467</v>
      </c>
      <c r="O25">
        <v>292319.02157154679</v>
      </c>
      <c r="P25">
        <v>281187.54005578056</v>
      </c>
    </row>
    <row r="26" spans="2:16" x14ac:dyDescent="0.35">
      <c r="B26" s="76" t="s">
        <v>29</v>
      </c>
      <c r="C26" s="75">
        <f>10086.375*11.63</f>
        <v>117304.54125000001</v>
      </c>
      <c r="E26" s="76" t="s">
        <v>28</v>
      </c>
      <c r="F26" s="81">
        <f>967.168*11.63</f>
        <v>11248.163840000001</v>
      </c>
      <c r="I26" t="s">
        <v>5</v>
      </c>
      <c r="J26" s="63">
        <f>J18</f>
        <v>278119.01370288606</v>
      </c>
      <c r="K26">
        <v>290719.75309981685</v>
      </c>
      <c r="L26">
        <v>279931.31709793111</v>
      </c>
      <c r="M26">
        <v>263054.63618742139</v>
      </c>
      <c r="N26">
        <v>250929.71554645128</v>
      </c>
      <c r="O26">
        <v>242420.60549758436</v>
      </c>
      <c r="P26">
        <v>253301.30978561606</v>
      </c>
    </row>
    <row r="27" spans="2:16" x14ac:dyDescent="0.35">
      <c r="B27" s="77" t="s">
        <v>9</v>
      </c>
      <c r="C27" s="75">
        <f>8081.339*11.63</f>
        <v>93985.972570000013</v>
      </c>
      <c r="E27" s="77" t="s">
        <v>140</v>
      </c>
      <c r="F27" s="81">
        <f>1264.738*11.63</f>
        <v>14708.902940000002</v>
      </c>
      <c r="I27" t="s">
        <v>142</v>
      </c>
      <c r="J27" s="63">
        <f>J19</f>
        <v>373050.45902835875</v>
      </c>
      <c r="K27">
        <v>344330.32743228285</v>
      </c>
      <c r="L27">
        <v>321270.12762015389</v>
      </c>
      <c r="M27">
        <v>310111.47777506959</v>
      </c>
      <c r="N27">
        <v>297831.6228233772</v>
      </c>
      <c r="O27">
        <v>284939.46566505113</v>
      </c>
      <c r="P27">
        <v>271851.38608614117</v>
      </c>
    </row>
    <row r="28" spans="2:16" x14ac:dyDescent="0.35">
      <c r="B28" s="76" t="s">
        <v>30</v>
      </c>
      <c r="C28" s="75">
        <f>1753.891*11.63</f>
        <v>20397.752330000003</v>
      </c>
      <c r="E28" s="76" t="s">
        <v>30</v>
      </c>
      <c r="F28" s="81">
        <f>25874.889*11.63</f>
        <v>300924.95906999998</v>
      </c>
      <c r="I28" t="s">
        <v>144</v>
      </c>
      <c r="J28" s="63">
        <f>J20-J24</f>
        <v>178711.15981113131</v>
      </c>
      <c r="K28" s="63">
        <f t="shared" ref="K28:P28" si="3">K20-K24</f>
        <v>204674.94521926413</v>
      </c>
      <c r="L28" s="63">
        <f t="shared" si="3"/>
        <v>194911.57715810454</v>
      </c>
      <c r="M28" s="63">
        <f t="shared" si="3"/>
        <v>177423.62473188323</v>
      </c>
      <c r="N28" s="63">
        <f t="shared" si="3"/>
        <v>171696.97623483045</v>
      </c>
      <c r="O28" s="63">
        <f t="shared" si="3"/>
        <v>168283.33884630326</v>
      </c>
      <c r="P28" s="63">
        <f t="shared" si="3"/>
        <v>163347.2074459549</v>
      </c>
    </row>
    <row r="29" spans="2:16" x14ac:dyDescent="0.35">
      <c r="B29" s="77" t="s">
        <v>141</v>
      </c>
      <c r="C29" s="75">
        <f>409.362*11.63</f>
        <v>4760.8800600000004</v>
      </c>
      <c r="E29" s="76"/>
      <c r="F29" s="81"/>
    </row>
    <row r="30" spans="2:16" x14ac:dyDescent="0.35">
      <c r="B30" s="77"/>
      <c r="C30" s="75"/>
      <c r="E30" s="74" t="s">
        <v>144</v>
      </c>
      <c r="F30" s="75">
        <f>SUM(F31:F35)</f>
        <v>192564.53910000002</v>
      </c>
    </row>
    <row r="31" spans="2:16" x14ac:dyDescent="0.35">
      <c r="B31" s="80" t="s">
        <v>142</v>
      </c>
      <c r="C31" s="81">
        <f>30655.992*11.63</f>
        <v>356529.18696000002</v>
      </c>
      <c r="E31" s="77" t="s">
        <v>138</v>
      </c>
      <c r="F31" s="82">
        <f>2589.599*11.63</f>
        <v>30117.036370000005</v>
      </c>
    </row>
    <row r="32" spans="2:16" x14ac:dyDescent="0.35">
      <c r="B32" s="76" t="s">
        <v>143</v>
      </c>
      <c r="C32" s="81">
        <f>6289.333*11.63</f>
        <v>73144.942790000001</v>
      </c>
      <c r="E32" s="76" t="s">
        <v>77</v>
      </c>
      <c r="F32" s="82">
        <f>292.861*11.63</f>
        <v>3405.97343</v>
      </c>
      <c r="I32" s="52" t="s">
        <v>135</v>
      </c>
      <c r="J32" s="52">
        <v>2020</v>
      </c>
      <c r="K32" s="52">
        <v>2025</v>
      </c>
      <c r="L32" s="52">
        <v>2030</v>
      </c>
      <c r="M32" s="52">
        <v>2035</v>
      </c>
      <c r="N32" s="52">
        <v>2040</v>
      </c>
      <c r="O32" s="52">
        <v>2045</v>
      </c>
      <c r="P32" s="52">
        <v>2050</v>
      </c>
    </row>
    <row r="33" spans="2:16" x14ac:dyDescent="0.35">
      <c r="B33" s="77" t="s">
        <v>77</v>
      </c>
      <c r="C33" s="81">
        <f>869.621*11.63</f>
        <v>10113.692230000001</v>
      </c>
      <c r="E33" s="77" t="s">
        <v>29</v>
      </c>
      <c r="F33" s="82">
        <f>6471.131*11.63</f>
        <v>75259.253530000002</v>
      </c>
      <c r="I33" t="s">
        <v>142</v>
      </c>
      <c r="J33" s="63">
        <f>F9</f>
        <v>356529.17533000006</v>
      </c>
      <c r="K33" s="63">
        <f t="shared" ref="K33:P33" si="4">K27</f>
        <v>344330.32743228285</v>
      </c>
      <c r="L33" s="63">
        <f t="shared" si="4"/>
        <v>321270.12762015389</v>
      </c>
      <c r="M33" s="63">
        <f t="shared" si="4"/>
        <v>310111.47777506959</v>
      </c>
      <c r="N33" s="63">
        <f t="shared" si="4"/>
        <v>297831.6228233772</v>
      </c>
      <c r="O33" s="63">
        <f t="shared" si="4"/>
        <v>284939.46566505113</v>
      </c>
      <c r="P33" s="63">
        <f t="shared" si="4"/>
        <v>271851.38608614117</v>
      </c>
    </row>
    <row r="34" spans="2:16" x14ac:dyDescent="0.35">
      <c r="B34" s="76" t="s">
        <v>29</v>
      </c>
      <c r="C34" s="81">
        <f>5693.177*11.63</f>
        <v>66211.648509999999</v>
      </c>
      <c r="E34" s="76" t="s">
        <v>28</v>
      </c>
      <c r="F34" s="82">
        <f>6690.229*11.63</f>
        <v>77807.363270000002</v>
      </c>
      <c r="I34" t="s">
        <v>5</v>
      </c>
      <c r="J34" s="63">
        <f>F16</f>
        <v>272762.75125000003</v>
      </c>
      <c r="K34" s="63">
        <f t="shared" ref="K34:P34" si="5">K26</f>
        <v>290719.75309981685</v>
      </c>
      <c r="L34" s="63">
        <f t="shared" si="5"/>
        <v>279931.31709793111</v>
      </c>
      <c r="M34" s="63">
        <f t="shared" si="5"/>
        <v>263054.63618742139</v>
      </c>
      <c r="N34" s="63">
        <f t="shared" si="5"/>
        <v>250929.71554645128</v>
      </c>
      <c r="O34" s="63">
        <f t="shared" si="5"/>
        <v>242420.60549758436</v>
      </c>
      <c r="P34" s="63">
        <f t="shared" si="5"/>
        <v>253301.30978561606</v>
      </c>
    </row>
    <row r="35" spans="2:16" x14ac:dyDescent="0.35">
      <c r="B35" s="77" t="s">
        <v>9</v>
      </c>
      <c r="C35" s="81">
        <f>15932.597*11.63</f>
        <v>185296.10311</v>
      </c>
      <c r="E35" s="77" t="s">
        <v>30</v>
      </c>
      <c r="F35" s="82">
        <f>513.75*11.63</f>
        <v>5974.9125000000004</v>
      </c>
      <c r="I35" t="s">
        <v>139</v>
      </c>
      <c r="J35" s="63">
        <f>F24</f>
        <v>336996.20653999998</v>
      </c>
      <c r="K35" s="63">
        <f t="shared" ref="K35:P35" si="6">K25</f>
        <v>404609.55345383642</v>
      </c>
      <c r="L35" s="63">
        <f t="shared" si="6"/>
        <v>367376.26925542764</v>
      </c>
      <c r="M35" s="63">
        <f t="shared" si="6"/>
        <v>344744.35224538465</v>
      </c>
      <c r="N35" s="63">
        <f t="shared" si="6"/>
        <v>316227.68012401467</v>
      </c>
      <c r="O35" s="63">
        <f t="shared" si="6"/>
        <v>292319.02157154679</v>
      </c>
      <c r="P35" s="63">
        <f t="shared" si="6"/>
        <v>281187.54005578056</v>
      </c>
    </row>
    <row r="36" spans="2:16" x14ac:dyDescent="0.35">
      <c r="B36" s="76" t="s">
        <v>30</v>
      </c>
      <c r="C36" s="81">
        <f>1871.263*11.63</f>
        <v>21762.788690000001</v>
      </c>
      <c r="I36" t="s">
        <v>144</v>
      </c>
      <c r="J36" s="63">
        <f>F30</f>
        <v>192564.53910000002</v>
      </c>
      <c r="K36" s="63">
        <f t="shared" ref="K36:P36" si="7">K28</f>
        <v>204674.94521926413</v>
      </c>
      <c r="L36" s="63">
        <f t="shared" si="7"/>
        <v>194911.57715810454</v>
      </c>
      <c r="M36" s="63">
        <f t="shared" si="7"/>
        <v>177423.62473188323</v>
      </c>
      <c r="N36" s="63">
        <f t="shared" si="7"/>
        <v>171696.97623483045</v>
      </c>
      <c r="O36" s="63">
        <f t="shared" si="7"/>
        <v>168283.33884630326</v>
      </c>
      <c r="P36" s="63">
        <f t="shared" si="7"/>
        <v>163347.2074459549</v>
      </c>
    </row>
    <row r="37" spans="2:16" x14ac:dyDescent="0.35">
      <c r="B37" s="76"/>
      <c r="C37" s="81"/>
      <c r="E37" s="74" t="s">
        <v>137</v>
      </c>
      <c r="F37" s="75">
        <f>SUM(F38:F40)</f>
        <v>33322.601640000001</v>
      </c>
      <c r="I37" t="s">
        <v>53</v>
      </c>
      <c r="J37">
        <v>342052.6</v>
      </c>
      <c r="K37">
        <v>342052.6</v>
      </c>
      <c r="L37">
        <v>342052.6</v>
      </c>
      <c r="M37">
        <v>342052.6</v>
      </c>
      <c r="N37">
        <v>342052.6</v>
      </c>
      <c r="O37">
        <v>342052.6</v>
      </c>
      <c r="P37">
        <v>342052.6</v>
      </c>
    </row>
    <row r="38" spans="2:16" x14ac:dyDescent="0.35">
      <c r="B38" s="74" t="s">
        <v>144</v>
      </c>
      <c r="C38" s="75">
        <f>16557.57*11.63</f>
        <v>192564.53910000002</v>
      </c>
      <c r="E38" s="76" t="s">
        <v>29</v>
      </c>
      <c r="F38" s="75">
        <f>(528.572+14.037)*11.63</f>
        <v>6310.5426700000007</v>
      </c>
      <c r="I38" t="s">
        <v>137</v>
      </c>
      <c r="J38" s="63">
        <f>F37</f>
        <v>33322.601640000001</v>
      </c>
      <c r="K38" s="63">
        <f t="shared" ref="K38:P38" si="8">K24</f>
        <v>39637.889869564686</v>
      </c>
      <c r="L38" s="63">
        <f t="shared" si="8"/>
        <v>37747.090252886228</v>
      </c>
      <c r="M38" s="63">
        <f t="shared" si="8"/>
        <v>34360.32724888419</v>
      </c>
      <c r="N38" s="63">
        <f t="shared" si="8"/>
        <v>33251.289392762061</v>
      </c>
      <c r="O38" s="63">
        <f t="shared" si="8"/>
        <v>32590.195370158977</v>
      </c>
      <c r="P38" s="63">
        <f t="shared" si="8"/>
        <v>31634.251140545999</v>
      </c>
    </row>
    <row r="39" spans="2:16" x14ac:dyDescent="0.35">
      <c r="B39" s="77" t="s">
        <v>138</v>
      </c>
      <c r="C39" s="82">
        <f>2589.599*11.63</f>
        <v>30117.036370000005</v>
      </c>
      <c r="E39" s="77" t="s">
        <v>28</v>
      </c>
      <c r="F39" s="63">
        <f>(135.904+0)*11.63</f>
        <v>1580.5635200000002</v>
      </c>
    </row>
    <row r="40" spans="2:16" x14ac:dyDescent="0.35">
      <c r="B40" s="76" t="s">
        <v>77</v>
      </c>
      <c r="C40" s="82">
        <f>292.861*11.63</f>
        <v>3405.97343</v>
      </c>
      <c r="E40" s="76" t="s">
        <v>30</v>
      </c>
      <c r="F40" s="75">
        <f>(2027.371+159.344)*11.63</f>
        <v>25431.495450000002</v>
      </c>
    </row>
    <row r="41" spans="2:16" x14ac:dyDescent="0.35">
      <c r="B41" s="77" t="s">
        <v>29</v>
      </c>
      <c r="C41" s="82">
        <f>6471.131*11.63</f>
        <v>75259.253530000002</v>
      </c>
    </row>
    <row r="42" spans="2:16" x14ac:dyDescent="0.35">
      <c r="B42" s="76" t="s">
        <v>28</v>
      </c>
      <c r="C42" s="82">
        <f>6690.229*11.63</f>
        <v>77807.363270000002</v>
      </c>
    </row>
    <row r="43" spans="2:16" x14ac:dyDescent="0.35">
      <c r="B43" s="77" t="s">
        <v>30</v>
      </c>
      <c r="C43" s="82">
        <f>513.75*11.63</f>
        <v>5974.9125000000004</v>
      </c>
    </row>
    <row r="45" spans="2:16" x14ac:dyDescent="0.35">
      <c r="C45" s="63">
        <f>C38+C9</f>
        <v>227524.60985000004</v>
      </c>
    </row>
    <row r="46" spans="2:16" x14ac:dyDescent="0.35">
      <c r="C46">
        <f>J8*11.63</f>
        <v>213320.83450026895</v>
      </c>
    </row>
  </sheetData>
  <mergeCells count="1">
    <mergeCell ref="I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D28B5-973F-4696-B7E3-9E1C07209109}">
  <dimension ref="A2:BK247"/>
  <sheetViews>
    <sheetView tabSelected="1" topLeftCell="A208" zoomScale="70" zoomScaleNormal="70" workbookViewId="0">
      <pane xSplit="1" topLeftCell="M1" activePane="topRight" state="frozen"/>
      <selection pane="topRight" activeCell="B216" sqref="B216:AD246"/>
    </sheetView>
  </sheetViews>
  <sheetFormatPr defaultRowHeight="14.5" x14ac:dyDescent="0.35"/>
  <cols>
    <col min="1" max="1" width="74.1796875" style="94" bestFit="1" customWidth="1"/>
    <col min="2" max="2" width="31.36328125" customWidth="1"/>
    <col min="3" max="3" width="10.90625" customWidth="1"/>
    <col min="4" max="4" width="16.81640625" customWidth="1"/>
    <col min="5" max="5" width="14.36328125" customWidth="1"/>
    <col min="6" max="6" width="12.453125" customWidth="1"/>
    <col min="7" max="7" width="15.81640625" customWidth="1"/>
    <col min="8" max="8" width="12.81640625" customWidth="1"/>
    <col min="9" max="11" width="10.36328125" bestFit="1" customWidth="1"/>
    <col min="12" max="12" width="9.54296875" bestFit="1" customWidth="1"/>
    <col min="13" max="13" width="12.36328125" bestFit="1" customWidth="1"/>
    <col min="14" max="14" width="12" bestFit="1" customWidth="1"/>
    <col min="15" max="21" width="12.36328125" bestFit="1" customWidth="1"/>
    <col min="22" max="22" width="12.36328125" customWidth="1"/>
    <col min="23" max="23" width="12.36328125" bestFit="1" customWidth="1"/>
    <col min="24" max="32" width="11.1796875" bestFit="1" customWidth="1"/>
  </cols>
  <sheetData>
    <row r="2" spans="1:23" ht="26" x14ac:dyDescent="0.6">
      <c r="A2" s="101" t="s">
        <v>150</v>
      </c>
    </row>
    <row r="3" spans="1:23" x14ac:dyDescent="0.35">
      <c r="A3" s="94" t="s">
        <v>0</v>
      </c>
      <c r="B3" t="s">
        <v>2</v>
      </c>
    </row>
    <row r="4" spans="1:23" x14ac:dyDescent="0.35">
      <c r="A4" s="94" t="s">
        <v>3</v>
      </c>
      <c r="B4" s="1" t="s">
        <v>1</v>
      </c>
    </row>
    <row r="5" spans="1:23" x14ac:dyDescent="0.35">
      <c r="A5" s="94" t="s">
        <v>27</v>
      </c>
      <c r="B5" s="1"/>
    </row>
    <row r="6" spans="1:23" x14ac:dyDescent="0.35">
      <c r="A6" s="102" t="s">
        <v>151</v>
      </c>
      <c r="W6" s="94"/>
    </row>
    <row r="7" spans="1:23" x14ac:dyDescent="0.35">
      <c r="A7" t="s">
        <v>82</v>
      </c>
      <c r="B7">
        <f>SUM(B10,B17,B25,B31)*11630</f>
        <v>1223708.6000000001</v>
      </c>
      <c r="D7" s="3" t="s">
        <v>81</v>
      </c>
      <c r="E7" s="3"/>
      <c r="F7" s="38">
        <f>0.15</f>
        <v>0.15</v>
      </c>
    </row>
    <row r="9" spans="1:23" x14ac:dyDescent="0.35">
      <c r="A9" s="95" t="s">
        <v>8</v>
      </c>
      <c r="B9" s="6" t="s">
        <v>16</v>
      </c>
      <c r="C9" s="6" t="s">
        <v>17</v>
      </c>
      <c r="D9" s="6" t="s">
        <v>18</v>
      </c>
      <c r="E9" s="6" t="s">
        <v>19</v>
      </c>
      <c r="F9" s="6" t="s">
        <v>20</v>
      </c>
      <c r="G9" s="6" t="s">
        <v>21</v>
      </c>
      <c r="H9" s="6" t="s">
        <v>22</v>
      </c>
      <c r="I9" s="6" t="s">
        <v>23</v>
      </c>
      <c r="J9" s="6" t="s">
        <v>24</v>
      </c>
      <c r="K9" s="6" t="s">
        <v>25</v>
      </c>
      <c r="L9" s="6" t="s">
        <v>26</v>
      </c>
      <c r="M9" s="22" t="s">
        <v>38</v>
      </c>
      <c r="N9" s="22" t="s">
        <v>40</v>
      </c>
      <c r="O9" s="22" t="s">
        <v>41</v>
      </c>
      <c r="P9" s="22" t="s">
        <v>42</v>
      </c>
      <c r="Q9" s="22" t="s">
        <v>43</v>
      </c>
      <c r="R9" s="22" t="s">
        <v>44</v>
      </c>
      <c r="S9" s="22" t="s">
        <v>45</v>
      </c>
      <c r="T9" s="22" t="s">
        <v>46</v>
      </c>
      <c r="U9" s="22" t="s">
        <v>47</v>
      </c>
      <c r="V9" s="22" t="s">
        <v>48</v>
      </c>
      <c r="W9" s="23" t="s">
        <v>39</v>
      </c>
    </row>
    <row r="10" spans="1:23" x14ac:dyDescent="0.35">
      <c r="A10" s="96" t="s">
        <v>4</v>
      </c>
      <c r="B10" s="25">
        <v>30.6</v>
      </c>
      <c r="C10" s="7">
        <f>B10+($G10-$B10)/5</f>
        <v>30.46</v>
      </c>
      <c r="D10" s="7">
        <f t="shared" ref="D10:F10" si="0">C10+($G10-$B10)/5</f>
        <v>30.32</v>
      </c>
      <c r="E10" s="7">
        <f t="shared" si="0"/>
        <v>30.18</v>
      </c>
      <c r="F10" s="7">
        <f t="shared" si="0"/>
        <v>30.04</v>
      </c>
      <c r="G10" s="25">
        <v>29.9</v>
      </c>
      <c r="H10" s="7">
        <f>G10+($L10-$G10)/5</f>
        <v>29.66</v>
      </c>
      <c r="I10" s="7">
        <f t="shared" ref="I10:K10" si="1">H10+($L10-$G10)/5</f>
        <v>29.42</v>
      </c>
      <c r="J10" s="7">
        <f t="shared" si="1"/>
        <v>29.180000000000003</v>
      </c>
      <c r="K10" s="7">
        <f t="shared" si="1"/>
        <v>28.940000000000005</v>
      </c>
      <c r="L10" s="25">
        <v>28.7</v>
      </c>
      <c r="M10" s="26">
        <f t="shared" ref="M10:W10" si="2">SUM(M11:M15)</f>
        <v>1</v>
      </c>
      <c r="N10" s="26">
        <f t="shared" si="2"/>
        <v>1</v>
      </c>
      <c r="O10" s="26">
        <f t="shared" si="2"/>
        <v>1</v>
      </c>
      <c r="P10" s="26">
        <f t="shared" si="2"/>
        <v>1</v>
      </c>
      <c r="Q10" s="26">
        <f t="shared" si="2"/>
        <v>1</v>
      </c>
      <c r="R10" s="26">
        <f t="shared" si="2"/>
        <v>1</v>
      </c>
      <c r="S10" s="26">
        <f t="shared" si="2"/>
        <v>1</v>
      </c>
      <c r="T10" s="26">
        <f t="shared" si="2"/>
        <v>1.0000000000000002</v>
      </c>
      <c r="U10" s="26">
        <f t="shared" si="2"/>
        <v>1</v>
      </c>
      <c r="V10" s="26">
        <f t="shared" si="2"/>
        <v>1</v>
      </c>
      <c r="W10" s="27">
        <f t="shared" si="2"/>
        <v>1</v>
      </c>
    </row>
    <row r="11" spans="1:23" x14ac:dyDescent="0.35">
      <c r="A11" s="97" t="s">
        <v>13</v>
      </c>
      <c r="B11" s="25">
        <f>30.6-24.38</f>
        <v>6.2200000000000024</v>
      </c>
      <c r="C11" s="28">
        <f t="shared" ref="C11:L15" si="3">$M11*C$10</f>
        <v>6.1915424836601334</v>
      </c>
      <c r="D11" s="28">
        <f t="shared" si="3"/>
        <v>6.1630849673202643</v>
      </c>
      <c r="E11" s="28">
        <f t="shared" si="3"/>
        <v>6.1346274509803944</v>
      </c>
      <c r="F11" s="28">
        <f t="shared" si="3"/>
        <v>6.1061699346405254</v>
      </c>
      <c r="G11" s="28">
        <f t="shared" si="3"/>
        <v>6.0777124183006555</v>
      </c>
      <c r="H11" s="28">
        <f t="shared" si="3"/>
        <v>6.0289281045751659</v>
      </c>
      <c r="I11" s="28">
        <f t="shared" si="3"/>
        <v>5.9801437908496764</v>
      </c>
      <c r="J11" s="28">
        <f t="shared" si="3"/>
        <v>5.931359477124186</v>
      </c>
      <c r="K11" s="28">
        <f t="shared" si="3"/>
        <v>5.8825751633986965</v>
      </c>
      <c r="L11" s="28">
        <f t="shared" si="3"/>
        <v>5.8337908496732052</v>
      </c>
      <c r="M11" s="26">
        <f t="shared" ref="M11:W15" si="4">B11/B$10</f>
        <v>0.20326797385620923</v>
      </c>
      <c r="N11" s="26">
        <f t="shared" si="4"/>
        <v>0.20326797385620923</v>
      </c>
      <c r="O11" s="26">
        <f t="shared" si="4"/>
        <v>0.20326797385620923</v>
      </c>
      <c r="P11" s="26">
        <f t="shared" si="4"/>
        <v>0.20326797385620923</v>
      </c>
      <c r="Q11" s="26">
        <f t="shared" si="4"/>
        <v>0.20326797385620923</v>
      </c>
      <c r="R11" s="26">
        <f t="shared" si="4"/>
        <v>0.20326797385620923</v>
      </c>
      <c r="S11" s="26">
        <f t="shared" si="4"/>
        <v>0.20326797385620923</v>
      </c>
      <c r="T11" s="26">
        <f t="shared" si="4"/>
        <v>0.20326797385620926</v>
      </c>
      <c r="U11" s="26">
        <f t="shared" si="4"/>
        <v>0.20326797385620923</v>
      </c>
      <c r="V11" s="26">
        <f t="shared" si="4"/>
        <v>0.20326797385620923</v>
      </c>
      <c r="W11" s="27">
        <f t="shared" si="4"/>
        <v>0.20326797385620923</v>
      </c>
    </row>
    <row r="12" spans="1:23" x14ac:dyDescent="0.35">
      <c r="A12" s="97" t="s">
        <v>12</v>
      </c>
      <c r="B12" s="25">
        <f>24.38-23.18</f>
        <v>1.1999999999999993</v>
      </c>
      <c r="C12" s="28">
        <f t="shared" si="3"/>
        <v>1.1945098039215678</v>
      </c>
      <c r="D12" s="28">
        <f t="shared" si="3"/>
        <v>1.1890196078431363</v>
      </c>
      <c r="E12" s="28">
        <f t="shared" si="3"/>
        <v>1.1835294117647051</v>
      </c>
      <c r="F12" s="28">
        <f t="shared" si="3"/>
        <v>1.1780392156862736</v>
      </c>
      <c r="G12" s="28">
        <f t="shared" si="3"/>
        <v>1.1725490196078423</v>
      </c>
      <c r="H12" s="28">
        <f t="shared" si="3"/>
        <v>1.1631372549019598</v>
      </c>
      <c r="I12" s="28">
        <f t="shared" si="3"/>
        <v>1.1537254901960776</v>
      </c>
      <c r="J12" s="28">
        <f t="shared" si="3"/>
        <v>1.1443137254901954</v>
      </c>
      <c r="K12" s="28">
        <f t="shared" si="3"/>
        <v>1.1349019607843132</v>
      </c>
      <c r="L12" s="28">
        <f t="shared" si="3"/>
        <v>1.1254901960784305</v>
      </c>
      <c r="M12" s="26">
        <f t="shared" si="4"/>
        <v>3.9215686274509776E-2</v>
      </c>
      <c r="N12" s="26">
        <f t="shared" si="4"/>
        <v>3.9215686274509776E-2</v>
      </c>
      <c r="O12" s="26">
        <f>D12/D$10</f>
        <v>3.9215686274509776E-2</v>
      </c>
      <c r="P12" s="26">
        <f t="shared" si="4"/>
        <v>3.9215686274509776E-2</v>
      </c>
      <c r="Q12" s="26">
        <f t="shared" si="4"/>
        <v>3.9215686274509776E-2</v>
      </c>
      <c r="R12" s="26">
        <f t="shared" si="4"/>
        <v>3.9215686274509776E-2</v>
      </c>
      <c r="S12" s="26">
        <f t="shared" si="4"/>
        <v>3.9215686274509776E-2</v>
      </c>
      <c r="T12" s="26">
        <f t="shared" si="4"/>
        <v>3.9215686274509776E-2</v>
      </c>
      <c r="U12" s="26">
        <f t="shared" si="4"/>
        <v>3.9215686274509776E-2</v>
      </c>
      <c r="V12" s="26">
        <f t="shared" si="4"/>
        <v>3.9215686274509776E-2</v>
      </c>
      <c r="W12" s="27">
        <f t="shared" si="4"/>
        <v>3.9215686274509776E-2</v>
      </c>
    </row>
    <row r="13" spans="1:23" x14ac:dyDescent="0.35">
      <c r="A13" s="97" t="s">
        <v>11</v>
      </c>
      <c r="B13" s="25">
        <f>23.18-17.52</f>
        <v>5.66</v>
      </c>
      <c r="C13" s="28">
        <f t="shared" si="3"/>
        <v>5.6341045751633994</v>
      </c>
      <c r="D13" s="28">
        <f t="shared" si="3"/>
        <v>5.6082091503267977</v>
      </c>
      <c r="E13" s="28">
        <f t="shared" si="3"/>
        <v>5.582313725490196</v>
      </c>
      <c r="F13" s="28">
        <f t="shared" si="3"/>
        <v>5.5564183006535952</v>
      </c>
      <c r="G13" s="28">
        <f t="shared" si="3"/>
        <v>5.5305228758169935</v>
      </c>
      <c r="H13" s="28">
        <f t="shared" si="3"/>
        <v>5.4861307189542483</v>
      </c>
      <c r="I13" s="28">
        <f t="shared" si="3"/>
        <v>5.441738562091504</v>
      </c>
      <c r="J13" s="28">
        <f t="shared" si="3"/>
        <v>5.3973464052287587</v>
      </c>
      <c r="K13" s="28">
        <f t="shared" si="3"/>
        <v>5.3529542483660144</v>
      </c>
      <c r="L13" s="28">
        <f t="shared" si="3"/>
        <v>5.3085620915032683</v>
      </c>
      <c r="M13" s="26">
        <f t="shared" si="4"/>
        <v>0.18496732026143792</v>
      </c>
      <c r="N13" s="26">
        <f t="shared" si="4"/>
        <v>0.18496732026143792</v>
      </c>
      <c r="O13" s="26">
        <f t="shared" si="4"/>
        <v>0.18496732026143792</v>
      </c>
      <c r="P13" s="26">
        <f t="shared" si="4"/>
        <v>0.18496732026143792</v>
      </c>
      <c r="Q13" s="26">
        <f t="shared" si="4"/>
        <v>0.18496732026143792</v>
      </c>
      <c r="R13" s="26">
        <f t="shared" si="4"/>
        <v>0.18496732026143792</v>
      </c>
      <c r="S13" s="26">
        <f t="shared" si="4"/>
        <v>0.18496732026143792</v>
      </c>
      <c r="T13" s="26">
        <f t="shared" si="4"/>
        <v>0.18496732026143792</v>
      </c>
      <c r="U13" s="26">
        <f t="shared" si="4"/>
        <v>0.18496732026143792</v>
      </c>
      <c r="V13" s="26">
        <f t="shared" si="4"/>
        <v>0.18496732026143792</v>
      </c>
      <c r="W13" s="27">
        <f t="shared" si="4"/>
        <v>0.18496732026143792</v>
      </c>
    </row>
    <row r="14" spans="1:23" x14ac:dyDescent="0.35">
      <c r="A14" s="97" t="s">
        <v>9</v>
      </c>
      <c r="B14" s="25">
        <f>17.52-1.63</f>
        <v>15.89</v>
      </c>
      <c r="C14" s="28">
        <f t="shared" si="3"/>
        <v>15.817300653594772</v>
      </c>
      <c r="D14" s="28">
        <f t="shared" si="3"/>
        <v>15.744601307189544</v>
      </c>
      <c r="E14" s="28">
        <f t="shared" si="3"/>
        <v>15.671901960784314</v>
      </c>
      <c r="F14" s="28">
        <f t="shared" si="3"/>
        <v>15.599202614379086</v>
      </c>
      <c r="G14" s="28">
        <f t="shared" si="3"/>
        <v>15.526503267973856</v>
      </c>
      <c r="H14" s="28">
        <f t="shared" si="3"/>
        <v>15.401875816993465</v>
      </c>
      <c r="I14" s="28">
        <f t="shared" si="3"/>
        <v>15.277248366013074</v>
      </c>
      <c r="J14" s="28">
        <f t="shared" si="3"/>
        <v>15.152620915032683</v>
      </c>
      <c r="K14" s="28">
        <f t="shared" si="3"/>
        <v>15.027993464052292</v>
      </c>
      <c r="L14" s="28">
        <f t="shared" si="3"/>
        <v>14.903366013071896</v>
      </c>
      <c r="M14" s="26">
        <f t="shared" si="4"/>
        <v>0.51928104575163403</v>
      </c>
      <c r="N14" s="26">
        <f t="shared" si="4"/>
        <v>0.51928104575163403</v>
      </c>
      <c r="O14" s="26">
        <f t="shared" si="4"/>
        <v>0.51928104575163403</v>
      </c>
      <c r="P14" s="26">
        <f t="shared" si="4"/>
        <v>0.51928104575163403</v>
      </c>
      <c r="Q14" s="26">
        <f t="shared" si="4"/>
        <v>0.51928104575163403</v>
      </c>
      <c r="R14" s="26">
        <f t="shared" si="4"/>
        <v>0.51928104575163403</v>
      </c>
      <c r="S14" s="26">
        <f t="shared" si="4"/>
        <v>0.51928104575163403</v>
      </c>
      <c r="T14" s="26">
        <f t="shared" si="4"/>
        <v>0.51928104575163403</v>
      </c>
      <c r="U14" s="26">
        <f t="shared" si="4"/>
        <v>0.51928104575163403</v>
      </c>
      <c r="V14" s="26">
        <f t="shared" si="4"/>
        <v>0.51928104575163403</v>
      </c>
      <c r="W14" s="27">
        <f t="shared" si="4"/>
        <v>0.51928104575163403</v>
      </c>
    </row>
    <row r="15" spans="1:23" x14ac:dyDescent="0.35">
      <c r="A15" s="97" t="s">
        <v>10</v>
      </c>
      <c r="B15" s="25">
        <v>1.63</v>
      </c>
      <c r="C15" s="28">
        <f t="shared" si="3"/>
        <v>1.6225424836601305</v>
      </c>
      <c r="D15" s="28">
        <f t="shared" si="3"/>
        <v>1.6150849673202612</v>
      </c>
      <c r="E15" s="28">
        <f t="shared" si="3"/>
        <v>1.6076274509803918</v>
      </c>
      <c r="F15" s="28">
        <f t="shared" si="3"/>
        <v>1.6001699346405225</v>
      </c>
      <c r="G15" s="28">
        <f t="shared" si="3"/>
        <v>1.5927124183006534</v>
      </c>
      <c r="H15" s="28">
        <f t="shared" si="3"/>
        <v>1.5799281045751632</v>
      </c>
      <c r="I15" s="28">
        <f t="shared" si="3"/>
        <v>1.567143790849673</v>
      </c>
      <c r="J15" s="28">
        <f t="shared" si="3"/>
        <v>1.5543594771241829</v>
      </c>
      <c r="K15" s="28">
        <f t="shared" si="3"/>
        <v>1.5415751633986927</v>
      </c>
      <c r="L15" s="28">
        <f t="shared" si="3"/>
        <v>1.5287908496732023</v>
      </c>
      <c r="M15" s="26">
        <f t="shared" si="4"/>
        <v>5.3267973856209141E-2</v>
      </c>
      <c r="N15" s="26">
        <f t="shared" si="4"/>
        <v>5.3267973856209141E-2</v>
      </c>
      <c r="O15" s="26">
        <f t="shared" si="4"/>
        <v>5.3267973856209141E-2</v>
      </c>
      <c r="P15" s="26">
        <f t="shared" si="4"/>
        <v>5.3267973856209141E-2</v>
      </c>
      <c r="Q15" s="26">
        <f t="shared" si="4"/>
        <v>5.3267973856209141E-2</v>
      </c>
      <c r="R15" s="26">
        <f t="shared" si="4"/>
        <v>5.3267973856209141E-2</v>
      </c>
      <c r="S15" s="26">
        <f t="shared" si="4"/>
        <v>5.3267973856209141E-2</v>
      </c>
      <c r="T15" s="26">
        <f t="shared" si="4"/>
        <v>5.3267973856209141E-2</v>
      </c>
      <c r="U15" s="26">
        <f t="shared" si="4"/>
        <v>5.3267973856209141E-2</v>
      </c>
      <c r="V15" s="26">
        <f t="shared" si="4"/>
        <v>5.3267973856209141E-2</v>
      </c>
      <c r="W15" s="27">
        <f t="shared" si="4"/>
        <v>5.3267973856209141E-2</v>
      </c>
    </row>
    <row r="16" spans="1:23" x14ac:dyDescent="0.35">
      <c r="A16" s="97"/>
      <c r="B16" s="25"/>
      <c r="C16" s="7"/>
      <c r="D16" s="7"/>
      <c r="E16" s="7"/>
      <c r="F16" s="7"/>
      <c r="G16" s="7"/>
      <c r="H16" s="7"/>
      <c r="I16" s="7"/>
      <c r="J16" s="7"/>
      <c r="K16" s="7"/>
      <c r="L16" s="25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7"/>
    </row>
    <row r="17" spans="1:23" x14ac:dyDescent="0.35">
      <c r="A17" s="96" t="s">
        <v>5</v>
      </c>
      <c r="B17" s="25">
        <v>24.72</v>
      </c>
      <c r="C17" s="28">
        <f>B17+($G17-$B17)/5</f>
        <v>24.835999999999999</v>
      </c>
      <c r="D17" s="28">
        <f>C17+($G17-$B17)/5</f>
        <v>24.951999999999998</v>
      </c>
      <c r="E17" s="28">
        <f>D17+($G17-$B17)/5</f>
        <v>25.067999999999998</v>
      </c>
      <c r="F17" s="28">
        <f>E17+($G17-$B17)/5</f>
        <v>25.183999999999997</v>
      </c>
      <c r="G17" s="25">
        <v>25.3</v>
      </c>
      <c r="H17" s="7">
        <f>G17+($L17-$G17)/5</f>
        <v>25.18</v>
      </c>
      <c r="I17" s="7">
        <f>H17+($L17-$G17)/5</f>
        <v>25.06</v>
      </c>
      <c r="J17" s="7">
        <f>I17+($L17-$G17)/5</f>
        <v>24.939999999999998</v>
      </c>
      <c r="K17" s="7">
        <f>J17+($L17-$G17)/5</f>
        <v>24.819999999999997</v>
      </c>
      <c r="L17" s="25">
        <v>24.7</v>
      </c>
      <c r="M17" s="26">
        <f t="shared" ref="M17:W17" si="5">SUM(M18:M23)</f>
        <v>1</v>
      </c>
      <c r="N17" s="26">
        <f t="shared" si="5"/>
        <v>1</v>
      </c>
      <c r="O17" s="26">
        <f t="shared" si="5"/>
        <v>1</v>
      </c>
      <c r="P17" s="26">
        <f t="shared" si="5"/>
        <v>1</v>
      </c>
      <c r="Q17" s="26">
        <f t="shared" si="5"/>
        <v>0.99999999999999989</v>
      </c>
      <c r="R17" s="26">
        <f t="shared" si="5"/>
        <v>1</v>
      </c>
      <c r="S17" s="26">
        <f t="shared" si="5"/>
        <v>1</v>
      </c>
      <c r="T17" s="26">
        <f t="shared" si="5"/>
        <v>1</v>
      </c>
      <c r="U17" s="26">
        <f t="shared" si="5"/>
        <v>1</v>
      </c>
      <c r="V17" s="26">
        <f t="shared" si="5"/>
        <v>1</v>
      </c>
      <c r="W17" s="27">
        <f t="shared" si="5"/>
        <v>0.99999999999999989</v>
      </c>
    </row>
    <row r="18" spans="1:23" x14ac:dyDescent="0.35">
      <c r="A18" s="97" t="s">
        <v>13</v>
      </c>
      <c r="B18" s="25">
        <f>24.72-24.15</f>
        <v>0.57000000000000028</v>
      </c>
      <c r="C18" s="28">
        <f t="shared" ref="C18:L23" si="6">C$17*$M18</f>
        <v>0.5726747572815537</v>
      </c>
      <c r="D18" s="28">
        <f t="shared" si="6"/>
        <v>0.57534951456310712</v>
      </c>
      <c r="E18" s="28">
        <f t="shared" si="6"/>
        <v>0.57802427184466054</v>
      </c>
      <c r="F18" s="28">
        <f t="shared" si="6"/>
        <v>0.58069902912621385</v>
      </c>
      <c r="G18" s="28">
        <f t="shared" si="6"/>
        <v>0.58337378640776738</v>
      </c>
      <c r="H18" s="28">
        <f t="shared" si="6"/>
        <v>0.58060679611650523</v>
      </c>
      <c r="I18" s="28">
        <f t="shared" si="6"/>
        <v>0.57783980582524308</v>
      </c>
      <c r="J18" s="28">
        <f t="shared" si="6"/>
        <v>0.57507281553398093</v>
      </c>
      <c r="K18" s="28">
        <f t="shared" si="6"/>
        <v>0.57230582524271867</v>
      </c>
      <c r="L18" s="28">
        <f t="shared" si="6"/>
        <v>0.56953883495145663</v>
      </c>
      <c r="M18" s="26">
        <f t="shared" ref="M18:W23" si="7">B18/B$17</f>
        <v>2.305825242718448E-2</v>
      </c>
      <c r="N18" s="26">
        <f t="shared" si="7"/>
        <v>2.305825242718448E-2</v>
      </c>
      <c r="O18" s="26">
        <f t="shared" si="7"/>
        <v>2.305825242718448E-2</v>
      </c>
      <c r="P18" s="26">
        <f t="shared" si="7"/>
        <v>2.3058252427184484E-2</v>
      </c>
      <c r="Q18" s="26">
        <f t="shared" si="7"/>
        <v>2.305825242718448E-2</v>
      </c>
      <c r="R18" s="26">
        <f t="shared" si="7"/>
        <v>2.305825242718448E-2</v>
      </c>
      <c r="S18" s="26">
        <f t="shared" si="7"/>
        <v>2.305825242718448E-2</v>
      </c>
      <c r="T18" s="26">
        <f t="shared" si="7"/>
        <v>2.305825242718448E-2</v>
      </c>
      <c r="U18" s="26">
        <f t="shared" si="7"/>
        <v>2.3058252427184484E-2</v>
      </c>
      <c r="V18" s="26">
        <f t="shared" si="7"/>
        <v>2.3058252427184477E-2</v>
      </c>
      <c r="W18" s="27">
        <f t="shared" si="7"/>
        <v>2.305825242718448E-2</v>
      </c>
    </row>
    <row r="19" spans="1:23" x14ac:dyDescent="0.35">
      <c r="A19" s="97" t="s">
        <v>12</v>
      </c>
      <c r="B19" s="25">
        <f>24.15-21.2</f>
        <v>2.9499999999999993</v>
      </c>
      <c r="C19" s="28">
        <f t="shared" si="6"/>
        <v>2.9638430420711965</v>
      </c>
      <c r="D19" s="28">
        <f t="shared" si="6"/>
        <v>2.9776860841423938</v>
      </c>
      <c r="E19" s="28">
        <f t="shared" si="6"/>
        <v>2.991529126213591</v>
      </c>
      <c r="F19" s="28">
        <f t="shared" si="6"/>
        <v>3.0053721682847887</v>
      </c>
      <c r="G19" s="28">
        <f t="shared" si="6"/>
        <v>3.0192152103559864</v>
      </c>
      <c r="H19" s="28">
        <f t="shared" si="6"/>
        <v>3.0048948220064715</v>
      </c>
      <c r="I19" s="28">
        <f t="shared" si="6"/>
        <v>2.9905744336569571</v>
      </c>
      <c r="J19" s="28">
        <f t="shared" si="6"/>
        <v>2.9762540453074422</v>
      </c>
      <c r="K19" s="28">
        <f t="shared" si="6"/>
        <v>2.9619336569579278</v>
      </c>
      <c r="L19" s="28">
        <f t="shared" si="6"/>
        <v>2.9476132686084133</v>
      </c>
      <c r="M19" s="26">
        <f t="shared" si="7"/>
        <v>0.119336569579288</v>
      </c>
      <c r="N19" s="26">
        <f t="shared" si="7"/>
        <v>0.119336569579288</v>
      </c>
      <c r="O19" s="26">
        <f t="shared" si="7"/>
        <v>0.119336569579288</v>
      </c>
      <c r="P19" s="26">
        <f t="shared" si="7"/>
        <v>0.11933656957928798</v>
      </c>
      <c r="Q19" s="26">
        <f t="shared" si="7"/>
        <v>0.119336569579288</v>
      </c>
      <c r="R19" s="26">
        <f t="shared" si="7"/>
        <v>0.119336569579288</v>
      </c>
      <c r="S19" s="26">
        <f t="shared" si="7"/>
        <v>0.11933656957928798</v>
      </c>
      <c r="T19" s="26">
        <f t="shared" si="7"/>
        <v>0.119336569579288</v>
      </c>
      <c r="U19" s="26">
        <f t="shared" si="7"/>
        <v>0.119336569579288</v>
      </c>
      <c r="V19" s="26">
        <f t="shared" si="7"/>
        <v>0.119336569579288</v>
      </c>
      <c r="W19" s="27">
        <f t="shared" si="7"/>
        <v>0.119336569579288</v>
      </c>
    </row>
    <row r="20" spans="1:23" x14ac:dyDescent="0.35">
      <c r="A20" s="97" t="s">
        <v>11</v>
      </c>
      <c r="B20" s="25">
        <f>21.2-11.65</f>
        <v>9.5499999999999989</v>
      </c>
      <c r="C20" s="28">
        <f t="shared" si="6"/>
        <v>9.5948139158576033</v>
      </c>
      <c r="D20" s="28">
        <f t="shared" si="6"/>
        <v>9.6396278317152095</v>
      </c>
      <c r="E20" s="28">
        <f t="shared" si="6"/>
        <v>9.684441747572814</v>
      </c>
      <c r="F20" s="28">
        <f t="shared" si="6"/>
        <v>9.7292556634304184</v>
      </c>
      <c r="G20" s="28">
        <f t="shared" si="6"/>
        <v>9.7740695792880263</v>
      </c>
      <c r="H20" s="28">
        <f t="shared" si="6"/>
        <v>9.727710355987055</v>
      </c>
      <c r="I20" s="28">
        <f t="shared" si="6"/>
        <v>9.6813511326860837</v>
      </c>
      <c r="J20" s="28">
        <f t="shared" si="6"/>
        <v>9.6349919093851124</v>
      </c>
      <c r="K20" s="28">
        <f t="shared" si="6"/>
        <v>9.5886326860841411</v>
      </c>
      <c r="L20" s="28">
        <f t="shared" si="6"/>
        <v>9.5422734627831698</v>
      </c>
      <c r="M20" s="26">
        <f t="shared" si="7"/>
        <v>0.38632686084142392</v>
      </c>
      <c r="N20" s="26">
        <f t="shared" si="7"/>
        <v>0.38632686084142392</v>
      </c>
      <c r="O20" s="26">
        <f t="shared" si="7"/>
        <v>0.38632686084142392</v>
      </c>
      <c r="P20" s="26">
        <f t="shared" si="7"/>
        <v>0.38632686084142392</v>
      </c>
      <c r="Q20" s="26">
        <f t="shared" si="7"/>
        <v>0.38632686084142387</v>
      </c>
      <c r="R20" s="26">
        <f t="shared" si="7"/>
        <v>0.38632686084142398</v>
      </c>
      <c r="S20" s="26">
        <f t="shared" si="7"/>
        <v>0.38632686084142398</v>
      </c>
      <c r="T20" s="26">
        <f t="shared" si="7"/>
        <v>0.38632686084142392</v>
      </c>
      <c r="U20" s="26">
        <f t="shared" si="7"/>
        <v>0.38632686084142392</v>
      </c>
      <c r="V20" s="26">
        <f t="shared" si="7"/>
        <v>0.38632686084142392</v>
      </c>
      <c r="W20" s="27">
        <f t="shared" si="7"/>
        <v>0.38632686084142387</v>
      </c>
    </row>
    <row r="21" spans="1:23" x14ac:dyDescent="0.35">
      <c r="A21" s="97" t="s">
        <v>9</v>
      </c>
      <c r="B21" s="25">
        <f>11.65-3.2</f>
        <v>8.4499999999999993</v>
      </c>
      <c r="C21" s="28">
        <f t="shared" si="6"/>
        <v>8.4896521035598695</v>
      </c>
      <c r="D21" s="28">
        <f t="shared" si="6"/>
        <v>8.5293042071197398</v>
      </c>
      <c r="E21" s="28">
        <f t="shared" si="6"/>
        <v>8.5689563106796101</v>
      </c>
      <c r="F21" s="28">
        <f t="shared" si="6"/>
        <v>8.6086084142394803</v>
      </c>
      <c r="G21" s="28">
        <f t="shared" si="6"/>
        <v>8.6482605177993523</v>
      </c>
      <c r="H21" s="28">
        <f t="shared" si="6"/>
        <v>8.6072411003236233</v>
      </c>
      <c r="I21" s="28">
        <f t="shared" si="6"/>
        <v>8.5662216828478961</v>
      </c>
      <c r="J21" s="28">
        <f t="shared" si="6"/>
        <v>8.5252022653721671</v>
      </c>
      <c r="K21" s="28">
        <f t="shared" si="6"/>
        <v>8.4841828478964381</v>
      </c>
      <c r="L21" s="28">
        <f t="shared" si="6"/>
        <v>8.4431634304207108</v>
      </c>
      <c r="M21" s="26">
        <f t="shared" si="7"/>
        <v>0.34182847896440127</v>
      </c>
      <c r="N21" s="26">
        <f t="shared" si="7"/>
        <v>0.34182847896440127</v>
      </c>
      <c r="O21" s="26">
        <f t="shared" si="7"/>
        <v>0.34182847896440127</v>
      </c>
      <c r="P21" s="26">
        <f t="shared" si="7"/>
        <v>0.34182847896440127</v>
      </c>
      <c r="Q21" s="26">
        <f t="shared" si="7"/>
        <v>0.34182847896440127</v>
      </c>
      <c r="R21" s="26">
        <f t="shared" si="7"/>
        <v>0.34182847896440127</v>
      </c>
      <c r="S21" s="26">
        <f t="shared" si="7"/>
        <v>0.34182847896440127</v>
      </c>
      <c r="T21" s="26">
        <f t="shared" si="7"/>
        <v>0.34182847896440127</v>
      </c>
      <c r="U21" s="26">
        <f t="shared" si="7"/>
        <v>0.34182847896440127</v>
      </c>
      <c r="V21" s="26">
        <f t="shared" si="7"/>
        <v>0.34182847896440127</v>
      </c>
      <c r="W21" s="27">
        <f t="shared" si="7"/>
        <v>0.34182847896440127</v>
      </c>
    </row>
    <row r="22" spans="1:23" x14ac:dyDescent="0.35">
      <c r="A22" s="97" t="s">
        <v>10</v>
      </c>
      <c r="B22" s="25">
        <f>3.2-1.53</f>
        <v>1.6700000000000002</v>
      </c>
      <c r="C22" s="28">
        <f t="shared" si="6"/>
        <v>1.6778365695792881</v>
      </c>
      <c r="D22" s="28">
        <f t="shared" si="6"/>
        <v>1.685673139158576</v>
      </c>
      <c r="E22" s="28">
        <f t="shared" si="6"/>
        <v>1.6935097087378639</v>
      </c>
      <c r="F22" s="28">
        <f t="shared" si="6"/>
        <v>1.701346278317152</v>
      </c>
      <c r="G22" s="28">
        <f t="shared" si="6"/>
        <v>1.7091828478964401</v>
      </c>
      <c r="H22" s="28">
        <f t="shared" si="6"/>
        <v>1.7010760517799353</v>
      </c>
      <c r="I22" s="28">
        <f t="shared" si="6"/>
        <v>1.6929692556634304</v>
      </c>
      <c r="J22" s="28">
        <f t="shared" si="6"/>
        <v>1.6848624595469255</v>
      </c>
      <c r="K22" s="28">
        <f t="shared" si="6"/>
        <v>1.6767556634304206</v>
      </c>
      <c r="L22" s="28">
        <f t="shared" si="6"/>
        <v>1.6686488673139159</v>
      </c>
      <c r="M22" s="26">
        <f t="shared" si="7"/>
        <v>6.7556634304207122E-2</v>
      </c>
      <c r="N22" s="26">
        <f t="shared" si="7"/>
        <v>6.7556634304207122E-2</v>
      </c>
      <c r="O22" s="26">
        <f t="shared" si="7"/>
        <v>6.7556634304207122E-2</v>
      </c>
      <c r="P22" s="26">
        <f t="shared" si="7"/>
        <v>6.7556634304207122E-2</v>
      </c>
      <c r="Q22" s="26">
        <f t="shared" si="7"/>
        <v>6.7556634304207122E-2</v>
      </c>
      <c r="R22" s="26">
        <f t="shared" si="7"/>
        <v>6.7556634304207122E-2</v>
      </c>
      <c r="S22" s="26">
        <f t="shared" si="7"/>
        <v>6.7556634304207122E-2</v>
      </c>
      <c r="T22" s="26">
        <f t="shared" si="7"/>
        <v>6.7556634304207122E-2</v>
      </c>
      <c r="U22" s="26">
        <f t="shared" si="7"/>
        <v>6.7556634304207122E-2</v>
      </c>
      <c r="V22" s="26">
        <f t="shared" si="7"/>
        <v>6.7556634304207122E-2</v>
      </c>
      <c r="W22" s="27">
        <f t="shared" si="7"/>
        <v>6.7556634304207122E-2</v>
      </c>
    </row>
    <row r="23" spans="1:23" x14ac:dyDescent="0.35">
      <c r="A23" s="97" t="s">
        <v>14</v>
      </c>
      <c r="B23" s="25">
        <v>1.53</v>
      </c>
      <c r="C23" s="28">
        <f t="shared" si="6"/>
        <v>1.5371796116504854</v>
      </c>
      <c r="D23" s="28">
        <f t="shared" si="6"/>
        <v>1.5443592233009709</v>
      </c>
      <c r="E23" s="28">
        <f t="shared" si="6"/>
        <v>1.5515388349514563</v>
      </c>
      <c r="F23" s="28">
        <f t="shared" si="6"/>
        <v>1.5587184466019417</v>
      </c>
      <c r="G23" s="28">
        <f t="shared" si="6"/>
        <v>1.5658980582524273</v>
      </c>
      <c r="H23" s="28">
        <f t="shared" si="6"/>
        <v>1.5584708737864079</v>
      </c>
      <c r="I23" s="28">
        <f t="shared" si="6"/>
        <v>1.5510436893203885</v>
      </c>
      <c r="J23" s="28">
        <f t="shared" si="6"/>
        <v>1.5436165048543691</v>
      </c>
      <c r="K23" s="28">
        <f t="shared" si="6"/>
        <v>1.5361893203883494</v>
      </c>
      <c r="L23" s="28">
        <f t="shared" si="6"/>
        <v>1.5287621359223302</v>
      </c>
      <c r="M23" s="26">
        <f t="shared" si="7"/>
        <v>6.1893203883495153E-2</v>
      </c>
      <c r="N23" s="26">
        <f t="shared" si="7"/>
        <v>6.1893203883495153E-2</v>
      </c>
      <c r="O23" s="26">
        <f t="shared" si="7"/>
        <v>6.1893203883495153E-2</v>
      </c>
      <c r="P23" s="26">
        <f t="shared" si="7"/>
        <v>6.1893203883495153E-2</v>
      </c>
      <c r="Q23" s="26">
        <f t="shared" si="7"/>
        <v>6.1893203883495153E-2</v>
      </c>
      <c r="R23" s="26">
        <f t="shared" si="7"/>
        <v>6.1893203883495153E-2</v>
      </c>
      <c r="S23" s="26">
        <f t="shared" si="7"/>
        <v>6.1893203883495153E-2</v>
      </c>
      <c r="T23" s="26">
        <f t="shared" si="7"/>
        <v>6.1893203883495153E-2</v>
      </c>
      <c r="U23" s="26">
        <f t="shared" si="7"/>
        <v>6.189320388349516E-2</v>
      </c>
      <c r="V23" s="26">
        <f t="shared" si="7"/>
        <v>6.1893203883495153E-2</v>
      </c>
      <c r="W23" s="27">
        <f t="shared" si="7"/>
        <v>6.1893203883495153E-2</v>
      </c>
    </row>
    <row r="24" spans="1:23" x14ac:dyDescent="0.35">
      <c r="A24" s="98"/>
      <c r="B24" s="25"/>
      <c r="C24" s="28"/>
      <c r="D24" s="28"/>
      <c r="E24" s="28"/>
      <c r="F24" s="28"/>
      <c r="G24" s="7"/>
      <c r="H24" s="7"/>
      <c r="I24" s="7"/>
      <c r="J24" s="7"/>
      <c r="K24" s="7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7"/>
    </row>
    <row r="25" spans="1:23" x14ac:dyDescent="0.35">
      <c r="A25" s="96" t="s">
        <v>6</v>
      </c>
      <c r="B25" s="25">
        <v>32.24</v>
      </c>
      <c r="C25" s="28">
        <f>B25+($G25-$B25)/5</f>
        <v>33.052</v>
      </c>
      <c r="D25" s="28">
        <f>C25+($G25-$B25)/5</f>
        <v>33.863999999999997</v>
      </c>
      <c r="E25" s="28">
        <f>D25+($G25-$B25)/5</f>
        <v>34.675999999999995</v>
      </c>
      <c r="F25" s="28">
        <f>E25+($G25-$B25)/5</f>
        <v>35.487999999999992</v>
      </c>
      <c r="G25" s="25">
        <v>36.299999999999997</v>
      </c>
      <c r="H25" s="7">
        <f>G25+($L25-$G25)/5</f>
        <v>36.019999999999996</v>
      </c>
      <c r="I25" s="7">
        <f>H25+($L25-$G25)/5</f>
        <v>35.739999999999995</v>
      </c>
      <c r="J25" s="7">
        <f>I25+($L25-$G25)/5</f>
        <v>35.459999999999994</v>
      </c>
      <c r="K25" s="7">
        <f>J25+($L25-$G25)/5</f>
        <v>35.179999999999993</v>
      </c>
      <c r="L25" s="25">
        <v>34.9</v>
      </c>
      <c r="M25" s="26">
        <f>SUM(M26:M29)</f>
        <v>1</v>
      </c>
      <c r="N25" s="26">
        <f t="shared" ref="N25:W25" si="8">SUM(N26:N29)</f>
        <v>1</v>
      </c>
      <c r="O25" s="26">
        <f t="shared" si="8"/>
        <v>1</v>
      </c>
      <c r="P25" s="26">
        <f t="shared" si="8"/>
        <v>1</v>
      </c>
      <c r="Q25" s="26">
        <f t="shared" si="8"/>
        <v>1</v>
      </c>
      <c r="R25" s="26">
        <f t="shared" si="8"/>
        <v>1</v>
      </c>
      <c r="S25" s="26">
        <f t="shared" si="8"/>
        <v>1</v>
      </c>
      <c r="T25" s="26">
        <f t="shared" si="8"/>
        <v>1</v>
      </c>
      <c r="U25" s="26">
        <f t="shared" si="8"/>
        <v>1</v>
      </c>
      <c r="V25" s="26">
        <f t="shared" si="8"/>
        <v>1</v>
      </c>
      <c r="W25" s="27">
        <f t="shared" si="8"/>
        <v>1</v>
      </c>
    </row>
    <row r="26" spans="1:23" x14ac:dyDescent="0.35">
      <c r="A26" s="97" t="s">
        <v>11</v>
      </c>
      <c r="B26" s="25">
        <f>32.24-31.25</f>
        <v>0.99000000000000199</v>
      </c>
      <c r="C26" s="28">
        <f t="shared" ref="C26:L29" si="9">C$25*$M26</f>
        <v>1.0149342431761808</v>
      </c>
      <c r="D26" s="28">
        <f t="shared" si="9"/>
        <v>1.0398684863523593</v>
      </c>
      <c r="E26" s="28">
        <f t="shared" si="9"/>
        <v>1.0648027295285378</v>
      </c>
      <c r="F26" s="28">
        <f t="shared" si="9"/>
        <v>1.0897369727047166</v>
      </c>
      <c r="G26" s="28">
        <f t="shared" si="9"/>
        <v>1.1146712158808953</v>
      </c>
      <c r="H26" s="28">
        <f t="shared" si="9"/>
        <v>1.1060732009925578</v>
      </c>
      <c r="I26" s="28">
        <f t="shared" si="9"/>
        <v>1.0974751861042205</v>
      </c>
      <c r="J26" s="28">
        <f t="shared" si="9"/>
        <v>1.0888771712158829</v>
      </c>
      <c r="K26" s="28">
        <f t="shared" si="9"/>
        <v>1.0802791563275453</v>
      </c>
      <c r="L26" s="28">
        <f t="shared" si="9"/>
        <v>1.071681141439208</v>
      </c>
      <c r="M26" s="26">
        <f t="shared" ref="M26:W29" si="10">B26/B$25</f>
        <v>3.0707196029776736E-2</v>
      </c>
      <c r="N26" s="26">
        <f t="shared" si="10"/>
        <v>3.0707196029776739E-2</v>
      </c>
      <c r="O26" s="26">
        <f t="shared" si="10"/>
        <v>3.0707196029776736E-2</v>
      </c>
      <c r="P26" s="26">
        <f t="shared" si="10"/>
        <v>3.0707196029776732E-2</v>
      </c>
      <c r="Q26" s="26">
        <f t="shared" si="10"/>
        <v>3.0707196029776736E-2</v>
      </c>
      <c r="R26" s="26">
        <f t="shared" si="10"/>
        <v>3.0707196029776732E-2</v>
      </c>
      <c r="S26" s="26">
        <f t="shared" si="10"/>
        <v>3.0707196029776732E-2</v>
      </c>
      <c r="T26" s="26">
        <f t="shared" si="10"/>
        <v>3.0707196029776739E-2</v>
      </c>
      <c r="U26" s="26">
        <f t="shared" si="10"/>
        <v>3.0707196029776736E-2</v>
      </c>
      <c r="V26" s="26">
        <f t="shared" si="10"/>
        <v>3.0707196029776736E-2</v>
      </c>
      <c r="W26" s="27">
        <f t="shared" si="10"/>
        <v>3.0707196029776736E-2</v>
      </c>
    </row>
    <row r="27" spans="1:23" x14ac:dyDescent="0.35">
      <c r="A27" s="97" t="s">
        <v>15</v>
      </c>
      <c r="B27" s="25">
        <f>31.25-30.02</f>
        <v>1.2300000000000004</v>
      </c>
      <c r="C27" s="28">
        <f t="shared" si="9"/>
        <v>1.260978908188586</v>
      </c>
      <c r="D27" s="28">
        <f t="shared" si="9"/>
        <v>1.2919578163771714</v>
      </c>
      <c r="E27" s="28">
        <f t="shared" si="9"/>
        <v>1.3229367245657571</v>
      </c>
      <c r="F27" s="28">
        <f t="shared" si="9"/>
        <v>1.3539156327543427</v>
      </c>
      <c r="G27" s="28">
        <f t="shared" si="9"/>
        <v>1.3848945409429283</v>
      </c>
      <c r="H27" s="28">
        <f t="shared" si="9"/>
        <v>1.3742121588089333</v>
      </c>
      <c r="I27" s="28">
        <f t="shared" si="9"/>
        <v>1.3635297766749381</v>
      </c>
      <c r="J27" s="28">
        <f t="shared" si="9"/>
        <v>1.3528473945409432</v>
      </c>
      <c r="K27" s="28">
        <f t="shared" si="9"/>
        <v>1.342165012406948</v>
      </c>
      <c r="L27" s="28">
        <f t="shared" si="9"/>
        <v>1.3314826302729532</v>
      </c>
      <c r="M27" s="26">
        <f t="shared" si="10"/>
        <v>3.8151364764268003E-2</v>
      </c>
      <c r="N27" s="26">
        <f t="shared" si="10"/>
        <v>3.8151364764268003E-2</v>
      </c>
      <c r="O27" s="26">
        <f t="shared" si="10"/>
        <v>3.8151364764268003E-2</v>
      </c>
      <c r="P27" s="26">
        <f t="shared" si="10"/>
        <v>3.8151364764268003E-2</v>
      </c>
      <c r="Q27" s="26">
        <f t="shared" si="10"/>
        <v>3.8151364764268003E-2</v>
      </c>
      <c r="R27" s="26">
        <f t="shared" si="10"/>
        <v>3.8151364764268003E-2</v>
      </c>
      <c r="S27" s="26">
        <f t="shared" si="10"/>
        <v>3.8151364764268003E-2</v>
      </c>
      <c r="T27" s="26">
        <f t="shared" si="10"/>
        <v>3.8151364764268003E-2</v>
      </c>
      <c r="U27" s="26">
        <f t="shared" si="10"/>
        <v>3.8151364764268003E-2</v>
      </c>
      <c r="V27" s="26">
        <f t="shared" si="10"/>
        <v>3.8151364764268003E-2</v>
      </c>
      <c r="W27" s="27">
        <f t="shared" si="10"/>
        <v>3.8151364764268003E-2</v>
      </c>
    </row>
    <row r="28" spans="1:23" x14ac:dyDescent="0.35">
      <c r="A28" s="97" t="s">
        <v>83</v>
      </c>
      <c r="B28" s="7">
        <f>30.02-29.28</f>
        <v>0.73999999999999844</v>
      </c>
      <c r="C28" s="28">
        <f t="shared" si="9"/>
        <v>0.75863771712158645</v>
      </c>
      <c r="D28" s="28">
        <f t="shared" si="9"/>
        <v>0.77727543424317436</v>
      </c>
      <c r="E28" s="28">
        <f t="shared" si="9"/>
        <v>0.79591315136476237</v>
      </c>
      <c r="F28" s="28">
        <f t="shared" si="9"/>
        <v>0.81455086848635039</v>
      </c>
      <c r="G28" s="28">
        <f t="shared" si="9"/>
        <v>0.83318858560793851</v>
      </c>
      <c r="H28" s="28">
        <f t="shared" si="9"/>
        <v>0.82676178660049437</v>
      </c>
      <c r="I28" s="28">
        <f t="shared" si="9"/>
        <v>0.82033498759305024</v>
      </c>
      <c r="J28" s="28">
        <f t="shared" si="9"/>
        <v>0.81390818858560599</v>
      </c>
      <c r="K28" s="28">
        <f t="shared" si="9"/>
        <v>0.80748138957816185</v>
      </c>
      <c r="L28" s="28">
        <f t="shared" si="9"/>
        <v>0.80105459057071782</v>
      </c>
      <c r="M28" s="26">
        <f t="shared" si="10"/>
        <v>2.2952853598014838E-2</v>
      </c>
      <c r="N28" s="26">
        <f t="shared" si="10"/>
        <v>2.2952853598014838E-2</v>
      </c>
      <c r="O28" s="26">
        <f t="shared" si="10"/>
        <v>2.2952853598014838E-2</v>
      </c>
      <c r="P28" s="26">
        <f t="shared" si="10"/>
        <v>2.2952853598014838E-2</v>
      </c>
      <c r="Q28" s="26">
        <f t="shared" si="10"/>
        <v>2.2952853598014838E-2</v>
      </c>
      <c r="R28" s="26">
        <f t="shared" si="10"/>
        <v>2.2952853598014838E-2</v>
      </c>
      <c r="S28" s="26">
        <f t="shared" si="10"/>
        <v>2.2952853598014838E-2</v>
      </c>
      <c r="T28" s="26">
        <f t="shared" si="10"/>
        <v>2.2952853598014838E-2</v>
      </c>
      <c r="U28" s="26">
        <f t="shared" si="10"/>
        <v>2.2952853598014838E-2</v>
      </c>
      <c r="V28" s="26">
        <f t="shared" si="10"/>
        <v>2.2952853598014838E-2</v>
      </c>
      <c r="W28" s="27">
        <f t="shared" si="10"/>
        <v>2.2952853598014838E-2</v>
      </c>
    </row>
    <row r="29" spans="1:23" x14ac:dyDescent="0.35">
      <c r="A29" s="97" t="s">
        <v>80</v>
      </c>
      <c r="B29" s="7">
        <v>29.28</v>
      </c>
      <c r="C29" s="28">
        <f t="shared" si="9"/>
        <v>30.017449131513647</v>
      </c>
      <c r="D29" s="28">
        <f t="shared" si="9"/>
        <v>30.754898263027293</v>
      </c>
      <c r="E29" s="28">
        <f t="shared" si="9"/>
        <v>31.492347394540939</v>
      </c>
      <c r="F29" s="28">
        <f t="shared" si="9"/>
        <v>32.229796526054585</v>
      </c>
      <c r="G29" s="28">
        <f t="shared" si="9"/>
        <v>32.967245657568235</v>
      </c>
      <c r="H29" s="28">
        <f t="shared" si="9"/>
        <v>32.712952853598011</v>
      </c>
      <c r="I29" s="28">
        <f t="shared" si="9"/>
        <v>32.458660049627788</v>
      </c>
      <c r="J29" s="28">
        <f t="shared" si="9"/>
        <v>32.204367245657565</v>
      </c>
      <c r="K29" s="28">
        <f t="shared" si="9"/>
        <v>31.950074441687338</v>
      </c>
      <c r="L29" s="28">
        <f t="shared" si="9"/>
        <v>31.695781637717122</v>
      </c>
      <c r="M29" s="26">
        <f t="shared" si="10"/>
        <v>0.90818858560794047</v>
      </c>
      <c r="N29" s="26">
        <f t="shared" si="10"/>
        <v>0.90818858560794047</v>
      </c>
      <c r="O29" s="26">
        <f t="shared" si="10"/>
        <v>0.90818858560794047</v>
      </c>
      <c r="P29" s="26">
        <f t="shared" si="10"/>
        <v>0.90818858560794047</v>
      </c>
      <c r="Q29" s="26">
        <f t="shared" si="10"/>
        <v>0.90818858560794047</v>
      </c>
      <c r="R29" s="26">
        <f t="shared" si="10"/>
        <v>0.90818858560794047</v>
      </c>
      <c r="S29" s="26">
        <f t="shared" si="10"/>
        <v>0.90818858560794047</v>
      </c>
      <c r="T29" s="26">
        <f t="shared" si="10"/>
        <v>0.90818858560794047</v>
      </c>
      <c r="U29" s="26">
        <f t="shared" si="10"/>
        <v>0.90818858560794047</v>
      </c>
      <c r="V29" s="26">
        <f t="shared" si="10"/>
        <v>0.90818858560794047</v>
      </c>
      <c r="W29" s="27">
        <f t="shared" si="10"/>
        <v>0.90818858560794047</v>
      </c>
    </row>
    <row r="30" spans="1:23" x14ac:dyDescent="0.35">
      <c r="A30" s="97"/>
      <c r="B30" s="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6"/>
      <c r="N30" s="28"/>
      <c r="O30" s="28"/>
      <c r="P30" s="28"/>
      <c r="Q30" s="28"/>
      <c r="R30" s="28"/>
      <c r="S30" s="28"/>
      <c r="T30" s="28"/>
      <c r="U30" s="28"/>
      <c r="V30" s="28"/>
      <c r="W30" s="92"/>
    </row>
    <row r="31" spans="1:23" x14ac:dyDescent="0.35">
      <c r="A31" s="99" t="s">
        <v>7</v>
      </c>
      <c r="B31" s="25">
        <v>17.66</v>
      </c>
      <c r="C31" s="28">
        <f>B31+($G31-$B31)/5</f>
        <v>17.648</v>
      </c>
      <c r="D31" s="28">
        <f>C31+($G31-$B31)/5</f>
        <v>17.635999999999999</v>
      </c>
      <c r="E31" s="28">
        <f>D31+($G31-$B31)/5</f>
        <v>17.623999999999999</v>
      </c>
      <c r="F31" s="28">
        <f>E31+($G31-$B31)/5</f>
        <v>17.611999999999998</v>
      </c>
      <c r="G31" s="32">
        <v>17.600000000000001</v>
      </c>
      <c r="H31" s="28">
        <f>G31+($L31-$G31)/5</f>
        <v>17.540000000000003</v>
      </c>
      <c r="I31" s="28">
        <f>H31+($L31-$G31)/5</f>
        <v>17.480000000000004</v>
      </c>
      <c r="J31" s="28">
        <f>I31+($L31-$G31)/5</f>
        <v>17.420000000000005</v>
      </c>
      <c r="K31" s="28">
        <f>J31+($L31-$G31)/5</f>
        <v>17.360000000000007</v>
      </c>
      <c r="L31" s="32">
        <v>17.3</v>
      </c>
      <c r="M31" s="26">
        <f t="shared" ref="M31:W31" si="11">SUM(M32:M36)</f>
        <v>1</v>
      </c>
      <c r="N31" s="26">
        <f t="shared" si="11"/>
        <v>1</v>
      </c>
      <c r="O31" s="26">
        <f t="shared" si="11"/>
        <v>1</v>
      </c>
      <c r="P31" s="26">
        <f t="shared" si="11"/>
        <v>1</v>
      </c>
      <c r="Q31" s="26">
        <f t="shared" si="11"/>
        <v>1</v>
      </c>
      <c r="R31" s="26">
        <f t="shared" si="11"/>
        <v>1</v>
      </c>
      <c r="S31" s="26">
        <f t="shared" si="11"/>
        <v>1</v>
      </c>
      <c r="T31" s="26">
        <f t="shared" si="11"/>
        <v>1</v>
      </c>
      <c r="U31" s="26">
        <f t="shared" si="11"/>
        <v>1</v>
      </c>
      <c r="V31" s="26">
        <f t="shared" si="11"/>
        <v>1</v>
      </c>
      <c r="W31" s="27">
        <f t="shared" si="11"/>
        <v>1</v>
      </c>
    </row>
    <row r="32" spans="1:23" x14ac:dyDescent="0.35">
      <c r="A32" s="97" t="s">
        <v>13</v>
      </c>
      <c r="B32" s="25">
        <f>17.66-17.37</f>
        <v>0.28999999999999915</v>
      </c>
      <c r="C32" s="28">
        <f t="shared" ref="C32:L36" si="12">C$31*$M32</f>
        <v>0.28980294450736038</v>
      </c>
      <c r="D32" s="28">
        <f t="shared" si="12"/>
        <v>0.28960588901472162</v>
      </c>
      <c r="E32" s="28">
        <f t="shared" si="12"/>
        <v>0.28940883352208291</v>
      </c>
      <c r="F32" s="28">
        <f t="shared" si="12"/>
        <v>0.28921177802944414</v>
      </c>
      <c r="G32" s="28">
        <f t="shared" si="12"/>
        <v>0.28901472253680549</v>
      </c>
      <c r="H32" s="28">
        <f t="shared" si="12"/>
        <v>0.28802944507361183</v>
      </c>
      <c r="I32" s="28">
        <f t="shared" si="12"/>
        <v>0.28704416761041823</v>
      </c>
      <c r="J32" s="28">
        <f t="shared" si="12"/>
        <v>0.28605889014722458</v>
      </c>
      <c r="K32" s="28">
        <f t="shared" si="12"/>
        <v>0.28507361268403097</v>
      </c>
      <c r="L32" s="28">
        <f t="shared" si="12"/>
        <v>0.28408833522083721</v>
      </c>
      <c r="M32" s="26">
        <f t="shared" ref="M32:W36" si="13">B32/B$31</f>
        <v>1.6421291053227583E-2</v>
      </c>
      <c r="N32" s="26">
        <f t="shared" si="13"/>
        <v>1.6421291053227583E-2</v>
      </c>
      <c r="O32" s="26">
        <f t="shared" si="13"/>
        <v>1.6421291053227583E-2</v>
      </c>
      <c r="P32" s="26">
        <f t="shared" si="13"/>
        <v>1.6421291053227583E-2</v>
      </c>
      <c r="Q32" s="26">
        <f t="shared" si="13"/>
        <v>1.6421291053227583E-2</v>
      </c>
      <c r="R32" s="26">
        <f t="shared" si="13"/>
        <v>1.6421291053227583E-2</v>
      </c>
      <c r="S32" s="26">
        <f t="shared" si="13"/>
        <v>1.6421291053227583E-2</v>
      </c>
      <c r="T32" s="26">
        <f t="shared" si="13"/>
        <v>1.6421291053227583E-2</v>
      </c>
      <c r="U32" s="26">
        <f t="shared" si="13"/>
        <v>1.6421291053227583E-2</v>
      </c>
      <c r="V32" s="26">
        <f t="shared" si="13"/>
        <v>1.6421291053227583E-2</v>
      </c>
      <c r="W32" s="27">
        <f t="shared" si="13"/>
        <v>1.6421291053227583E-2</v>
      </c>
    </row>
    <row r="33" spans="1:23" x14ac:dyDescent="0.35">
      <c r="A33" s="97" t="s">
        <v>12</v>
      </c>
      <c r="B33" s="25">
        <f>17.37-16.82</f>
        <v>0.55000000000000071</v>
      </c>
      <c r="C33" s="28">
        <f t="shared" si="12"/>
        <v>0.54962627406568587</v>
      </c>
      <c r="D33" s="28">
        <f t="shared" si="12"/>
        <v>0.54925254813137103</v>
      </c>
      <c r="E33" s="28">
        <f t="shared" si="12"/>
        <v>0.54887882219705619</v>
      </c>
      <c r="F33" s="28">
        <f t="shared" si="12"/>
        <v>0.54850509626274135</v>
      </c>
      <c r="G33" s="28">
        <f t="shared" si="12"/>
        <v>0.54813137032842651</v>
      </c>
      <c r="H33" s="28">
        <f t="shared" si="12"/>
        <v>0.54626274065685243</v>
      </c>
      <c r="I33" s="28">
        <f t="shared" si="12"/>
        <v>0.54439411098527823</v>
      </c>
      <c r="J33" s="28">
        <f t="shared" si="12"/>
        <v>0.54252548131370415</v>
      </c>
      <c r="K33" s="28">
        <f t="shared" si="12"/>
        <v>0.54065685164212995</v>
      </c>
      <c r="L33" s="28">
        <f t="shared" si="12"/>
        <v>0.53878822197055565</v>
      </c>
      <c r="M33" s="26">
        <f t="shared" si="13"/>
        <v>3.1143827859569689E-2</v>
      </c>
      <c r="N33" s="26">
        <f t="shared" si="13"/>
        <v>3.1143827859569689E-2</v>
      </c>
      <c r="O33" s="26">
        <f t="shared" si="13"/>
        <v>3.1143827859569689E-2</v>
      </c>
      <c r="P33" s="26">
        <f t="shared" si="13"/>
        <v>3.1143827859569692E-2</v>
      </c>
      <c r="Q33" s="26">
        <f t="shared" si="13"/>
        <v>3.1143827859569692E-2</v>
      </c>
      <c r="R33" s="26">
        <f t="shared" si="13"/>
        <v>3.1143827859569685E-2</v>
      </c>
      <c r="S33" s="26">
        <f t="shared" si="13"/>
        <v>3.1143827859569689E-2</v>
      </c>
      <c r="T33" s="26">
        <f t="shared" si="13"/>
        <v>3.1143827859569685E-2</v>
      </c>
      <c r="U33" s="26">
        <f t="shared" si="13"/>
        <v>3.1143827859569689E-2</v>
      </c>
      <c r="V33" s="26">
        <f t="shared" si="13"/>
        <v>3.1143827859569685E-2</v>
      </c>
      <c r="W33" s="27">
        <f t="shared" si="13"/>
        <v>3.1143827859569689E-2</v>
      </c>
    </row>
    <row r="34" spans="1:23" x14ac:dyDescent="0.35">
      <c r="A34" s="97" t="s">
        <v>11</v>
      </c>
      <c r="B34" s="25">
        <f>16.82-8.5</f>
        <v>8.32</v>
      </c>
      <c r="C34" s="28">
        <f t="shared" si="12"/>
        <v>8.3143465458663659</v>
      </c>
      <c r="D34" s="28">
        <f t="shared" si="12"/>
        <v>8.3086930917327297</v>
      </c>
      <c r="E34" s="28">
        <f t="shared" si="12"/>
        <v>8.3030396375990936</v>
      </c>
      <c r="F34" s="28">
        <f t="shared" si="12"/>
        <v>8.2973861834654592</v>
      </c>
      <c r="G34" s="28">
        <f t="shared" si="12"/>
        <v>8.2917327293318248</v>
      </c>
      <c r="H34" s="28">
        <f t="shared" si="12"/>
        <v>8.2634654586636493</v>
      </c>
      <c r="I34" s="28">
        <f t="shared" si="12"/>
        <v>8.2351981879954721</v>
      </c>
      <c r="J34" s="28">
        <f t="shared" si="12"/>
        <v>8.2069309173272966</v>
      </c>
      <c r="K34" s="28">
        <f t="shared" si="12"/>
        <v>8.1786636466591212</v>
      </c>
      <c r="L34" s="28">
        <f t="shared" si="12"/>
        <v>8.1503963759909404</v>
      </c>
      <c r="M34" s="26">
        <f t="shared" si="13"/>
        <v>0.47112117780294455</v>
      </c>
      <c r="N34" s="26">
        <f t="shared" si="13"/>
        <v>0.4711211778029446</v>
      </c>
      <c r="O34" s="26">
        <f t="shared" si="13"/>
        <v>0.47112117780294455</v>
      </c>
      <c r="P34" s="26">
        <f t="shared" si="13"/>
        <v>0.47112117780294449</v>
      </c>
      <c r="Q34" s="26">
        <f t="shared" si="13"/>
        <v>0.4711211778029446</v>
      </c>
      <c r="R34" s="26">
        <f t="shared" si="13"/>
        <v>0.47112117780294455</v>
      </c>
      <c r="S34" s="26">
        <f t="shared" si="13"/>
        <v>0.4711211778029446</v>
      </c>
      <c r="T34" s="26">
        <f t="shared" si="13"/>
        <v>0.47112117780294455</v>
      </c>
      <c r="U34" s="26">
        <f t="shared" si="13"/>
        <v>0.47112117780294455</v>
      </c>
      <c r="V34" s="26">
        <f t="shared" si="13"/>
        <v>0.4711211778029446</v>
      </c>
      <c r="W34" s="27">
        <f t="shared" si="13"/>
        <v>0.47112117780294449</v>
      </c>
    </row>
    <row r="35" spans="1:23" x14ac:dyDescent="0.35">
      <c r="A35" s="97" t="s">
        <v>9</v>
      </c>
      <c r="B35" s="25">
        <f>8.5-2.24</f>
        <v>6.26</v>
      </c>
      <c r="C35" s="28">
        <f t="shared" si="12"/>
        <v>6.2557463193657981</v>
      </c>
      <c r="D35" s="28">
        <f t="shared" si="12"/>
        <v>6.2514926387315963</v>
      </c>
      <c r="E35" s="28">
        <f t="shared" si="12"/>
        <v>6.2472389580973946</v>
      </c>
      <c r="F35" s="28">
        <f t="shared" si="12"/>
        <v>6.2429852774631929</v>
      </c>
      <c r="G35" s="28">
        <f t="shared" si="12"/>
        <v>6.2387315968289929</v>
      </c>
      <c r="H35" s="28">
        <f t="shared" si="12"/>
        <v>6.2174631936579852</v>
      </c>
      <c r="I35" s="28">
        <f t="shared" si="12"/>
        <v>6.1961947904869774</v>
      </c>
      <c r="J35" s="28">
        <f t="shared" si="12"/>
        <v>6.1749263873159705</v>
      </c>
      <c r="K35" s="28">
        <f t="shared" si="12"/>
        <v>6.1536579841449628</v>
      </c>
      <c r="L35" s="28">
        <f t="shared" si="12"/>
        <v>6.1323895809739533</v>
      </c>
      <c r="M35" s="26">
        <f t="shared" si="13"/>
        <v>0.35447338618346547</v>
      </c>
      <c r="N35" s="26">
        <f t="shared" si="13"/>
        <v>0.35447338618346547</v>
      </c>
      <c r="O35" s="26">
        <f t="shared" si="13"/>
        <v>0.35447338618346547</v>
      </c>
      <c r="P35" s="26">
        <f t="shared" si="13"/>
        <v>0.35447338618346547</v>
      </c>
      <c r="Q35" s="26">
        <f t="shared" si="13"/>
        <v>0.35447338618346547</v>
      </c>
      <c r="R35" s="26">
        <f t="shared" si="13"/>
        <v>0.35447338618346547</v>
      </c>
      <c r="S35" s="26">
        <f t="shared" si="13"/>
        <v>0.35447338618346547</v>
      </c>
      <c r="T35" s="26">
        <f t="shared" si="13"/>
        <v>0.35447338618346547</v>
      </c>
      <c r="U35" s="26">
        <f t="shared" si="13"/>
        <v>0.35447338618346547</v>
      </c>
      <c r="V35" s="26">
        <f t="shared" si="13"/>
        <v>0.35447338618346547</v>
      </c>
      <c r="W35" s="27">
        <f t="shared" si="13"/>
        <v>0.35447338618346547</v>
      </c>
    </row>
    <row r="36" spans="1:23" x14ac:dyDescent="0.35">
      <c r="A36" s="100" t="s">
        <v>10</v>
      </c>
      <c r="B36" s="90">
        <v>2.2400000000000002</v>
      </c>
      <c r="C36" s="91">
        <f t="shared" si="12"/>
        <v>2.2384779161947908</v>
      </c>
      <c r="D36" s="91">
        <f t="shared" si="12"/>
        <v>2.2369558323895813</v>
      </c>
      <c r="E36" s="91">
        <f t="shared" si="12"/>
        <v>2.2354337485843718</v>
      </c>
      <c r="F36" s="91">
        <f t="shared" si="12"/>
        <v>2.2339116647791619</v>
      </c>
      <c r="G36" s="91">
        <f t="shared" si="12"/>
        <v>2.2323895809739529</v>
      </c>
      <c r="H36" s="91">
        <f t="shared" si="12"/>
        <v>2.2247791619479056</v>
      </c>
      <c r="I36" s="91">
        <f t="shared" si="12"/>
        <v>2.2171687429218583</v>
      </c>
      <c r="J36" s="91">
        <f t="shared" si="12"/>
        <v>2.2095583238958105</v>
      </c>
      <c r="K36" s="91">
        <f t="shared" si="12"/>
        <v>2.2019479048697632</v>
      </c>
      <c r="L36" s="91">
        <f t="shared" si="12"/>
        <v>2.194337485843715</v>
      </c>
      <c r="M36" s="59">
        <f t="shared" si="13"/>
        <v>0.12684031710079277</v>
      </c>
      <c r="N36" s="59">
        <f t="shared" si="13"/>
        <v>0.12684031710079277</v>
      </c>
      <c r="O36" s="59">
        <f t="shared" si="13"/>
        <v>0.12684031710079277</v>
      </c>
      <c r="P36" s="59">
        <f t="shared" si="13"/>
        <v>0.12684031710079277</v>
      </c>
      <c r="Q36" s="59">
        <f t="shared" si="13"/>
        <v>0.12684031710079277</v>
      </c>
      <c r="R36" s="59">
        <f t="shared" si="13"/>
        <v>0.12684031710079277</v>
      </c>
      <c r="S36" s="59">
        <f t="shared" si="13"/>
        <v>0.12684031710079277</v>
      </c>
      <c r="T36" s="59">
        <f t="shared" si="13"/>
        <v>0.12684031710079277</v>
      </c>
      <c r="U36" s="59">
        <f t="shared" si="13"/>
        <v>0.12684031710079277</v>
      </c>
      <c r="V36" s="59">
        <f t="shared" si="13"/>
        <v>0.12684031710079277</v>
      </c>
      <c r="W36" s="93">
        <f t="shared" si="13"/>
        <v>0.12684031710079277</v>
      </c>
    </row>
    <row r="38" spans="1:23" x14ac:dyDescent="0.35">
      <c r="A38" s="102" t="s">
        <v>152</v>
      </c>
    </row>
    <row r="40" spans="1:23" x14ac:dyDescent="0.35">
      <c r="A40" s="12" t="s">
        <v>8</v>
      </c>
      <c r="B40" s="6" t="s">
        <v>16</v>
      </c>
      <c r="C40" s="6" t="s">
        <v>17</v>
      </c>
      <c r="D40" s="6" t="s">
        <v>18</v>
      </c>
      <c r="E40" s="6" t="s">
        <v>19</v>
      </c>
      <c r="F40" s="6" t="s">
        <v>20</v>
      </c>
      <c r="G40" s="6" t="s">
        <v>21</v>
      </c>
      <c r="H40" s="6" t="s">
        <v>22</v>
      </c>
      <c r="I40" s="6" t="s">
        <v>23</v>
      </c>
      <c r="J40" s="6" t="s">
        <v>24</v>
      </c>
      <c r="K40" s="6" t="s">
        <v>25</v>
      </c>
      <c r="L40" s="6" t="s">
        <v>26</v>
      </c>
      <c r="M40" s="22" t="s">
        <v>38</v>
      </c>
      <c r="N40" s="22" t="s">
        <v>40</v>
      </c>
      <c r="O40" s="22" t="s">
        <v>41</v>
      </c>
      <c r="P40" s="22" t="s">
        <v>42</v>
      </c>
      <c r="Q40" s="22" t="s">
        <v>43</v>
      </c>
      <c r="R40" s="22" t="s">
        <v>44</v>
      </c>
      <c r="S40" s="22" t="s">
        <v>45</v>
      </c>
      <c r="T40" s="22" t="s">
        <v>46</v>
      </c>
      <c r="U40" s="22" t="s">
        <v>47</v>
      </c>
      <c r="V40" s="22" t="s">
        <v>48</v>
      </c>
      <c r="W40" s="23" t="s">
        <v>39</v>
      </c>
    </row>
    <row r="41" spans="1:23" x14ac:dyDescent="0.35">
      <c r="A41" s="3" t="s">
        <v>31</v>
      </c>
      <c r="B41" s="15">
        <f>B31-B51</f>
        <v>14.7948</v>
      </c>
      <c r="C41" s="5">
        <f t="shared" ref="C41:K41" si="14">B41+($L41-$B41)/10</f>
        <v>14.775320000000001</v>
      </c>
      <c r="D41" s="5">
        <f t="shared" si="14"/>
        <v>14.755840000000001</v>
      </c>
      <c r="E41" s="5">
        <f t="shared" si="14"/>
        <v>14.736360000000001</v>
      </c>
      <c r="F41" s="5">
        <f t="shared" si="14"/>
        <v>14.716880000000002</v>
      </c>
      <c r="G41" s="5">
        <f t="shared" si="14"/>
        <v>14.697400000000002</v>
      </c>
      <c r="H41" s="5">
        <f t="shared" si="14"/>
        <v>14.677920000000002</v>
      </c>
      <c r="I41" s="5">
        <f t="shared" si="14"/>
        <v>14.658440000000002</v>
      </c>
      <c r="J41" s="5">
        <f t="shared" si="14"/>
        <v>14.638960000000003</v>
      </c>
      <c r="K41" s="5">
        <f t="shared" si="14"/>
        <v>14.619480000000003</v>
      </c>
      <c r="L41" s="15">
        <v>14.6</v>
      </c>
      <c r="M41" s="9">
        <f t="shared" ref="M41:W46" si="15">B41/B$41</f>
        <v>1</v>
      </c>
      <c r="N41" s="9">
        <f t="shared" ref="N41" si="16">C41/C$41</f>
        <v>1</v>
      </c>
      <c r="O41" s="9">
        <f t="shared" ref="O41" si="17">D41/D$41</f>
        <v>1</v>
      </c>
      <c r="P41" s="9">
        <f t="shared" ref="P41" si="18">E41/E$41</f>
        <v>1</v>
      </c>
      <c r="Q41" s="9">
        <f t="shared" ref="Q41" si="19">F41/F$41</f>
        <v>1</v>
      </c>
      <c r="R41" s="9">
        <f t="shared" ref="R41" si="20">G41/G$41</f>
        <v>1</v>
      </c>
      <c r="S41" s="9">
        <f t="shared" ref="S41" si="21">H41/H$41</f>
        <v>1</v>
      </c>
      <c r="T41" s="9">
        <f t="shared" ref="T41" si="22">I41/I$41</f>
        <v>1</v>
      </c>
      <c r="U41" s="9">
        <f t="shared" ref="U41" si="23">J41/J$41</f>
        <v>1</v>
      </c>
      <c r="V41" s="9">
        <f t="shared" ref="V41" si="24">K41/K$41</f>
        <v>1</v>
      </c>
      <c r="W41" s="9">
        <f t="shared" ref="W41" si="25">L41/L$41</f>
        <v>1</v>
      </c>
    </row>
    <row r="42" spans="1:23" x14ac:dyDescent="0.35">
      <c r="A42" s="10" t="s">
        <v>13</v>
      </c>
      <c r="B42" s="5">
        <f t="shared" ref="B42:L42" si="26">B$41*M32</f>
        <v>0.24294971687429145</v>
      </c>
      <c r="C42" s="5">
        <f t="shared" si="26"/>
        <v>0.24262983012457459</v>
      </c>
      <c r="D42" s="5">
        <f t="shared" si="26"/>
        <v>0.24230994337485773</v>
      </c>
      <c r="E42" s="5">
        <f t="shared" si="26"/>
        <v>0.24199005662514084</v>
      </c>
      <c r="F42" s="5">
        <f t="shared" si="26"/>
        <v>0.24167016987542397</v>
      </c>
      <c r="G42" s="5">
        <f t="shared" si="26"/>
        <v>0.24135028312570711</v>
      </c>
      <c r="H42" s="5">
        <f t="shared" si="26"/>
        <v>0.24103039637599025</v>
      </c>
      <c r="I42" s="5">
        <f t="shared" si="26"/>
        <v>0.24071050962627338</v>
      </c>
      <c r="J42" s="5">
        <f t="shared" si="26"/>
        <v>0.24039062287655649</v>
      </c>
      <c r="K42" s="5">
        <f t="shared" si="26"/>
        <v>0.24007073612683963</v>
      </c>
      <c r="L42" s="5">
        <f t="shared" si="26"/>
        <v>0.23975084937712271</v>
      </c>
      <c r="M42" s="9">
        <f t="shared" si="15"/>
        <v>1.6421291053227583E-2</v>
      </c>
      <c r="N42" s="9">
        <f t="shared" si="15"/>
        <v>1.6421291053227583E-2</v>
      </c>
      <c r="O42" s="9">
        <f t="shared" si="15"/>
        <v>1.6421291053227583E-2</v>
      </c>
      <c r="P42" s="9">
        <f t="shared" si="15"/>
        <v>1.6421291053227583E-2</v>
      </c>
      <c r="Q42" s="9">
        <f t="shared" si="15"/>
        <v>1.6421291053227583E-2</v>
      </c>
      <c r="R42" s="9">
        <f t="shared" si="15"/>
        <v>1.6421291053227583E-2</v>
      </c>
      <c r="S42" s="9">
        <f t="shared" si="15"/>
        <v>1.6421291053227583E-2</v>
      </c>
      <c r="T42" s="9">
        <f t="shared" si="15"/>
        <v>1.6421291053227583E-2</v>
      </c>
      <c r="U42" s="9">
        <f t="shared" si="15"/>
        <v>1.6421291053227583E-2</v>
      </c>
      <c r="V42" s="9">
        <f t="shared" si="15"/>
        <v>1.6421291053227583E-2</v>
      </c>
      <c r="W42" s="9">
        <f t="shared" si="15"/>
        <v>1.6421291053227583E-2</v>
      </c>
    </row>
    <row r="43" spans="1:23" x14ac:dyDescent="0.35">
      <c r="A43" s="10" t="s">
        <v>12</v>
      </c>
      <c r="B43" s="5">
        <f>B$41*M33</f>
        <v>0.46076670441676165</v>
      </c>
      <c r="C43" s="5">
        <f t="shared" ref="C43:L46" si="27">C$41*M33</f>
        <v>0.46016002265005723</v>
      </c>
      <c r="D43" s="5">
        <f t="shared" si="27"/>
        <v>0.45955334088335281</v>
      </c>
      <c r="E43" s="5">
        <f t="shared" si="27"/>
        <v>0.45894665911664839</v>
      </c>
      <c r="F43" s="5">
        <f t="shared" si="27"/>
        <v>0.45833997734994408</v>
      </c>
      <c r="G43" s="5">
        <f t="shared" si="27"/>
        <v>0.45773329558323966</v>
      </c>
      <c r="H43" s="5">
        <f t="shared" si="27"/>
        <v>0.45712661381653513</v>
      </c>
      <c r="I43" s="5">
        <f t="shared" si="27"/>
        <v>0.45651993204983077</v>
      </c>
      <c r="J43" s="5">
        <f t="shared" si="27"/>
        <v>0.45591325028312635</v>
      </c>
      <c r="K43" s="5">
        <f t="shared" si="27"/>
        <v>0.45530656851642198</v>
      </c>
      <c r="L43" s="5">
        <f t="shared" si="27"/>
        <v>0.4546998867497174</v>
      </c>
      <c r="M43" s="9">
        <f t="shared" si="15"/>
        <v>3.1143827859569689E-2</v>
      </c>
      <c r="N43" s="9">
        <f t="shared" si="15"/>
        <v>3.1143827859569689E-2</v>
      </c>
      <c r="O43" s="9">
        <f t="shared" si="15"/>
        <v>3.1143827859569689E-2</v>
      </c>
      <c r="P43" s="9">
        <f t="shared" si="15"/>
        <v>3.1143827859569689E-2</v>
      </c>
      <c r="Q43" s="9">
        <f t="shared" si="15"/>
        <v>3.1143827859569692E-2</v>
      </c>
      <c r="R43" s="9">
        <f t="shared" si="15"/>
        <v>3.1143827859569692E-2</v>
      </c>
      <c r="S43" s="9">
        <f t="shared" si="15"/>
        <v>3.1143827859569685E-2</v>
      </c>
      <c r="T43" s="9">
        <f t="shared" si="15"/>
        <v>3.1143827859569689E-2</v>
      </c>
      <c r="U43" s="9">
        <f t="shared" si="15"/>
        <v>3.1143827859569689E-2</v>
      </c>
      <c r="V43" s="9">
        <f t="shared" si="15"/>
        <v>3.1143827859569689E-2</v>
      </c>
      <c r="W43" s="9">
        <f t="shared" si="15"/>
        <v>3.1143827859569685E-2</v>
      </c>
    </row>
    <row r="44" spans="1:23" x14ac:dyDescent="0.35">
      <c r="A44" s="10" t="s">
        <v>11</v>
      </c>
      <c r="B44" s="5">
        <f>B$41*M34</f>
        <v>6.9701436013590046</v>
      </c>
      <c r="C44" s="5">
        <f t="shared" si="27"/>
        <v>6.9609661608154028</v>
      </c>
      <c r="D44" s="5">
        <f t="shared" si="27"/>
        <v>6.9517887202718027</v>
      </c>
      <c r="E44" s="5">
        <f t="shared" si="27"/>
        <v>6.9426112797282009</v>
      </c>
      <c r="F44" s="5">
        <f t="shared" si="27"/>
        <v>6.9334338391845982</v>
      </c>
      <c r="G44" s="5">
        <f t="shared" si="27"/>
        <v>6.9242563986409991</v>
      </c>
      <c r="H44" s="5">
        <f t="shared" si="27"/>
        <v>6.9150789580973964</v>
      </c>
      <c r="I44" s="5">
        <f t="shared" si="27"/>
        <v>6.9059015175537963</v>
      </c>
      <c r="J44" s="5">
        <f t="shared" si="27"/>
        <v>6.8967240770101945</v>
      </c>
      <c r="K44" s="5">
        <f t="shared" si="27"/>
        <v>6.8875466364665927</v>
      </c>
      <c r="L44" s="5">
        <f t="shared" si="27"/>
        <v>6.8783691959229909</v>
      </c>
      <c r="M44" s="9">
        <f t="shared" si="15"/>
        <v>0.4711211778029446</v>
      </c>
      <c r="N44" s="9">
        <f t="shared" si="15"/>
        <v>0.47112117780294455</v>
      </c>
      <c r="O44" s="9">
        <f t="shared" si="15"/>
        <v>0.4711211778029446</v>
      </c>
      <c r="P44" s="9">
        <f t="shared" si="15"/>
        <v>0.4711211778029446</v>
      </c>
      <c r="Q44" s="9">
        <f t="shared" si="15"/>
        <v>0.47112117780294449</v>
      </c>
      <c r="R44" s="9">
        <f t="shared" si="15"/>
        <v>0.4711211778029446</v>
      </c>
      <c r="S44" s="9">
        <f t="shared" si="15"/>
        <v>0.47112117780294449</v>
      </c>
      <c r="T44" s="9">
        <f t="shared" si="15"/>
        <v>0.4711211778029446</v>
      </c>
      <c r="U44" s="9">
        <f t="shared" si="15"/>
        <v>0.47112117780294455</v>
      </c>
      <c r="V44" s="9">
        <f t="shared" si="15"/>
        <v>0.47112117780294455</v>
      </c>
      <c r="W44" s="9">
        <f t="shared" si="15"/>
        <v>0.4711211778029446</v>
      </c>
    </row>
    <row r="45" spans="1:23" x14ac:dyDescent="0.35">
      <c r="A45" s="10" t="s">
        <v>9</v>
      </c>
      <c r="B45" s="5">
        <f>B$41*M35</f>
        <v>5.244362853907135</v>
      </c>
      <c r="C45" s="5">
        <f t="shared" si="27"/>
        <v>5.2374577123442814</v>
      </c>
      <c r="D45" s="5">
        <f t="shared" si="27"/>
        <v>5.2305525707814278</v>
      </c>
      <c r="E45" s="5">
        <f t="shared" si="27"/>
        <v>5.2236474292185733</v>
      </c>
      <c r="F45" s="5">
        <f t="shared" si="27"/>
        <v>5.2167422876557197</v>
      </c>
      <c r="G45" s="5">
        <f t="shared" si="27"/>
        <v>5.2098371460928661</v>
      </c>
      <c r="H45" s="5">
        <f t="shared" si="27"/>
        <v>5.2029320045300125</v>
      </c>
      <c r="I45" s="5">
        <f t="shared" si="27"/>
        <v>5.196026862967158</v>
      </c>
      <c r="J45" s="5">
        <f t="shared" si="27"/>
        <v>5.1891217214043044</v>
      </c>
      <c r="K45" s="5">
        <f t="shared" si="27"/>
        <v>5.1822165798414508</v>
      </c>
      <c r="L45" s="5">
        <f t="shared" si="27"/>
        <v>5.1753114382785954</v>
      </c>
      <c r="M45" s="9">
        <f t="shared" si="15"/>
        <v>0.35447338618346547</v>
      </c>
      <c r="N45" s="9">
        <f t="shared" si="15"/>
        <v>0.35447338618346547</v>
      </c>
      <c r="O45" s="9">
        <f t="shared" si="15"/>
        <v>0.35447338618346547</v>
      </c>
      <c r="P45" s="9">
        <f t="shared" si="15"/>
        <v>0.35447338618346547</v>
      </c>
      <c r="Q45" s="9">
        <f t="shared" si="15"/>
        <v>0.35447338618346547</v>
      </c>
      <c r="R45" s="9">
        <f t="shared" si="15"/>
        <v>0.35447338618346547</v>
      </c>
      <c r="S45" s="9">
        <f t="shared" si="15"/>
        <v>0.35447338618346547</v>
      </c>
      <c r="T45" s="9">
        <f t="shared" si="15"/>
        <v>0.35447338618346547</v>
      </c>
      <c r="U45" s="9">
        <f t="shared" si="15"/>
        <v>0.35447338618346547</v>
      </c>
      <c r="V45" s="9">
        <f t="shared" si="15"/>
        <v>0.35447338618346547</v>
      </c>
      <c r="W45" s="9">
        <f t="shared" si="15"/>
        <v>0.35447338618346547</v>
      </c>
    </row>
    <row r="46" spans="1:23" x14ac:dyDescent="0.35">
      <c r="A46" s="11" t="s">
        <v>10</v>
      </c>
      <c r="B46" s="5">
        <f>B$41*M36</f>
        <v>1.876577123442809</v>
      </c>
      <c r="C46" s="5">
        <f t="shared" si="27"/>
        <v>1.8741062740656855</v>
      </c>
      <c r="D46" s="5">
        <f t="shared" si="27"/>
        <v>1.871635424688562</v>
      </c>
      <c r="E46" s="5">
        <f t="shared" si="27"/>
        <v>1.8691645753114388</v>
      </c>
      <c r="F46" s="5">
        <f t="shared" si="27"/>
        <v>1.8666937259343153</v>
      </c>
      <c r="G46" s="5">
        <f t="shared" si="27"/>
        <v>1.864222876557192</v>
      </c>
      <c r="H46" s="5">
        <f t="shared" si="27"/>
        <v>1.8617520271800685</v>
      </c>
      <c r="I46" s="5">
        <f t="shared" si="27"/>
        <v>1.859281177802945</v>
      </c>
      <c r="J46" s="5">
        <f t="shared" si="27"/>
        <v>1.8568103284258217</v>
      </c>
      <c r="K46" s="5">
        <f t="shared" si="27"/>
        <v>1.8543394790486982</v>
      </c>
      <c r="L46" s="5">
        <f t="shared" si="27"/>
        <v>1.8518686296715745</v>
      </c>
      <c r="M46" s="9">
        <f t="shared" si="15"/>
        <v>0.12684031710079277</v>
      </c>
      <c r="N46" s="9">
        <f t="shared" si="15"/>
        <v>0.12684031710079277</v>
      </c>
      <c r="O46" s="9">
        <f t="shared" si="15"/>
        <v>0.12684031710079277</v>
      </c>
      <c r="P46" s="9">
        <f t="shared" si="15"/>
        <v>0.12684031710079277</v>
      </c>
      <c r="Q46" s="9">
        <f t="shared" si="15"/>
        <v>0.12684031710079277</v>
      </c>
      <c r="R46" s="9">
        <f t="shared" si="15"/>
        <v>0.12684031710079277</v>
      </c>
      <c r="S46" s="9">
        <f t="shared" si="15"/>
        <v>0.12684031710079277</v>
      </c>
      <c r="T46" s="9">
        <f t="shared" si="15"/>
        <v>0.12684031710079277</v>
      </c>
      <c r="U46" s="9">
        <f t="shared" si="15"/>
        <v>0.12684031710079277</v>
      </c>
      <c r="V46" s="9">
        <f t="shared" si="15"/>
        <v>0.12684031710079277</v>
      </c>
      <c r="W46" s="9">
        <f t="shared" si="15"/>
        <v>0.12684031710079277</v>
      </c>
    </row>
    <row r="47" spans="1:23" x14ac:dyDescent="0.35">
      <c r="A47" s="14" t="s">
        <v>49</v>
      </c>
    </row>
    <row r="48" spans="1:23" x14ac:dyDescent="0.35">
      <c r="A48" s="14" t="s">
        <v>35</v>
      </c>
    </row>
    <row r="49" spans="1:23" x14ac:dyDescent="0.35">
      <c r="A49"/>
    </row>
    <row r="50" spans="1:23" x14ac:dyDescent="0.35">
      <c r="A50" t="s">
        <v>8</v>
      </c>
      <c r="B50" t="s">
        <v>16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 t="s">
        <v>22</v>
      </c>
      <c r="I50" t="s">
        <v>23</v>
      </c>
      <c r="J50" t="s">
        <v>24</v>
      </c>
      <c r="K50" t="s">
        <v>25</v>
      </c>
      <c r="L50" t="s">
        <v>26</v>
      </c>
      <c r="M50" s="13" t="s">
        <v>38</v>
      </c>
      <c r="N50" s="21" t="s">
        <v>40</v>
      </c>
      <c r="O50" s="21" t="s">
        <v>41</v>
      </c>
      <c r="P50" s="21" t="s">
        <v>42</v>
      </c>
      <c r="Q50" s="21" t="s">
        <v>43</v>
      </c>
      <c r="R50" s="21" t="s">
        <v>44</v>
      </c>
      <c r="S50" s="21" t="s">
        <v>45</v>
      </c>
      <c r="T50" s="21" t="s">
        <v>46</v>
      </c>
      <c r="U50" s="21" t="s">
        <v>47</v>
      </c>
      <c r="V50" s="21" t="s">
        <v>48</v>
      </c>
      <c r="W50" s="21" t="s">
        <v>39</v>
      </c>
    </row>
    <row r="51" spans="1:23" x14ac:dyDescent="0.35">
      <c r="A51" t="s">
        <v>32</v>
      </c>
      <c r="B51" s="15">
        <f>SUM(B52:B54)</f>
        <v>2.8652000000000002</v>
      </c>
      <c r="C51" s="5">
        <f t="shared" ref="C51:K54" si="28">B51+($L51-$B51)/10</f>
        <v>2.8486800000000003</v>
      </c>
      <c r="D51" s="5">
        <f t="shared" si="28"/>
        <v>2.8321600000000005</v>
      </c>
      <c r="E51" s="5">
        <f t="shared" si="28"/>
        <v>2.8156400000000006</v>
      </c>
      <c r="F51" s="5">
        <f t="shared" si="28"/>
        <v>2.7991200000000007</v>
      </c>
      <c r="G51" s="5">
        <f t="shared" si="28"/>
        <v>2.7826000000000009</v>
      </c>
      <c r="H51" s="5">
        <f t="shared" si="28"/>
        <v>2.766080000000001</v>
      </c>
      <c r="I51" s="5">
        <f t="shared" si="28"/>
        <v>2.7495600000000011</v>
      </c>
      <c r="J51" s="5">
        <f t="shared" si="28"/>
        <v>2.7330400000000012</v>
      </c>
      <c r="K51" s="5">
        <f t="shared" si="28"/>
        <v>2.7165200000000014</v>
      </c>
      <c r="L51" s="3">
        <v>2.7</v>
      </c>
      <c r="M51" s="24">
        <f t="shared" ref="M51:W51" si="29">SUM(M52:M54)</f>
        <v>1</v>
      </c>
      <c r="N51" s="24">
        <f t="shared" si="29"/>
        <v>1</v>
      </c>
      <c r="O51" s="24">
        <f t="shared" si="29"/>
        <v>0.99999999999999978</v>
      </c>
      <c r="P51" s="24">
        <f t="shared" si="29"/>
        <v>0.99999999999999978</v>
      </c>
      <c r="Q51" s="24">
        <f t="shared" si="29"/>
        <v>0.99999999999999978</v>
      </c>
      <c r="R51" s="24">
        <f t="shared" si="29"/>
        <v>0.99999999999999978</v>
      </c>
      <c r="S51" s="24">
        <f t="shared" si="29"/>
        <v>0.99999999999999967</v>
      </c>
      <c r="T51" s="24">
        <f t="shared" si="29"/>
        <v>0.99999999999999956</v>
      </c>
      <c r="U51" s="24">
        <f t="shared" si="29"/>
        <v>0.99999999999999967</v>
      </c>
      <c r="V51" s="24">
        <f t="shared" si="29"/>
        <v>0.99999999999999956</v>
      </c>
      <c r="W51" s="24">
        <f t="shared" si="29"/>
        <v>0.99999999999999989</v>
      </c>
    </row>
    <row r="52" spans="1:23" x14ac:dyDescent="0.35">
      <c r="A52" s="2" t="s">
        <v>29</v>
      </c>
      <c r="B52" s="15">
        <f>0.5286+0.014</f>
        <v>0.54259999999999997</v>
      </c>
      <c r="C52" s="5">
        <f t="shared" si="28"/>
        <v>0.53947150914421327</v>
      </c>
      <c r="D52" s="5">
        <f t="shared" si="28"/>
        <v>0.53634301828842657</v>
      </c>
      <c r="E52" s="5">
        <f t="shared" si="28"/>
        <v>0.53321452743263986</v>
      </c>
      <c r="F52" s="5">
        <f t="shared" si="28"/>
        <v>0.53008603657685316</v>
      </c>
      <c r="G52" s="5">
        <f t="shared" si="28"/>
        <v>0.52695754572106646</v>
      </c>
      <c r="H52" s="5">
        <f t="shared" si="28"/>
        <v>0.52382905486527975</v>
      </c>
      <c r="I52" s="5">
        <f t="shared" si="28"/>
        <v>0.52070056400949305</v>
      </c>
      <c r="J52" s="5">
        <f t="shared" si="28"/>
        <v>0.51757207315370635</v>
      </c>
      <c r="K52" s="5">
        <f t="shared" si="28"/>
        <v>0.51444358229791964</v>
      </c>
      <c r="L52" s="5">
        <f>$L$51*Table361790[[#This Row],[2020%]]</f>
        <v>0.51131509144213316</v>
      </c>
      <c r="M52" s="24">
        <f t="shared" ref="M52:W54" si="30">B52/B$51</f>
        <v>0.18937595979338265</v>
      </c>
      <c r="N52" s="24">
        <f t="shared" si="30"/>
        <v>0.18937595979338262</v>
      </c>
      <c r="O52" s="24">
        <f t="shared" si="30"/>
        <v>0.18937595979338259</v>
      </c>
      <c r="P52" s="24">
        <f t="shared" si="30"/>
        <v>0.18937595979338259</v>
      </c>
      <c r="Q52" s="24">
        <f t="shared" si="30"/>
        <v>0.18937595979338256</v>
      </c>
      <c r="R52" s="24">
        <f t="shared" si="30"/>
        <v>0.18937595979338256</v>
      </c>
      <c r="S52" s="24">
        <f t="shared" si="30"/>
        <v>0.18937595979338254</v>
      </c>
      <c r="T52" s="24">
        <f t="shared" si="30"/>
        <v>0.18937595979338251</v>
      </c>
      <c r="U52" s="24">
        <f t="shared" si="30"/>
        <v>0.18937595979338251</v>
      </c>
      <c r="V52" s="24">
        <f t="shared" si="30"/>
        <v>0.18937595979338248</v>
      </c>
      <c r="W52" s="24">
        <f t="shared" si="30"/>
        <v>0.18937595979338265</v>
      </c>
    </row>
    <row r="53" spans="1:23" x14ac:dyDescent="0.35">
      <c r="A53" s="2" t="s">
        <v>28</v>
      </c>
      <c r="B53" s="15">
        <v>0.13589999999999999</v>
      </c>
      <c r="C53" s="5">
        <f t="shared" si="28"/>
        <v>0.13511643585090044</v>
      </c>
      <c r="D53" s="5">
        <f t="shared" si="28"/>
        <v>0.13433287170180092</v>
      </c>
      <c r="E53" s="5">
        <f t="shared" si="28"/>
        <v>0.13354930755270139</v>
      </c>
      <c r="F53" s="5">
        <f t="shared" si="28"/>
        <v>0.13276574340360187</v>
      </c>
      <c r="G53" s="5">
        <f t="shared" si="28"/>
        <v>0.13198217925450234</v>
      </c>
      <c r="H53" s="5">
        <f t="shared" si="28"/>
        <v>0.13119861510540282</v>
      </c>
      <c r="I53" s="5">
        <f t="shared" si="28"/>
        <v>0.13041505095630329</v>
      </c>
      <c r="J53" s="5">
        <f t="shared" si="28"/>
        <v>0.12963148680720377</v>
      </c>
      <c r="K53" s="5">
        <f t="shared" si="28"/>
        <v>0.12884792265810424</v>
      </c>
      <c r="L53" s="5">
        <f>$L$51*Table361790[[#This Row],[2020%]]</f>
        <v>0.12806435850900461</v>
      </c>
      <c r="M53" s="24">
        <f t="shared" si="30"/>
        <v>4.7431243892223925E-2</v>
      </c>
      <c r="N53" s="24">
        <f t="shared" si="30"/>
        <v>4.7431243892223918E-2</v>
      </c>
      <c r="O53" s="24">
        <f t="shared" si="30"/>
        <v>4.7431243892223918E-2</v>
      </c>
      <c r="P53" s="24">
        <f t="shared" si="30"/>
        <v>4.7431243892223925E-2</v>
      </c>
      <c r="Q53" s="24">
        <f t="shared" si="30"/>
        <v>4.7431243892223925E-2</v>
      </c>
      <c r="R53" s="24">
        <f t="shared" si="30"/>
        <v>4.7431243892223925E-2</v>
      </c>
      <c r="S53" s="24">
        <f t="shared" si="30"/>
        <v>4.7431243892223932E-2</v>
      </c>
      <c r="T53" s="24">
        <f t="shared" si="30"/>
        <v>4.7431243892223932E-2</v>
      </c>
      <c r="U53" s="24">
        <f t="shared" si="30"/>
        <v>4.7431243892223938E-2</v>
      </c>
      <c r="V53" s="24">
        <f t="shared" si="30"/>
        <v>4.7431243892223938E-2</v>
      </c>
      <c r="W53" s="24">
        <f t="shared" si="30"/>
        <v>4.7431243892223925E-2</v>
      </c>
    </row>
    <row r="54" spans="1:23" x14ac:dyDescent="0.35">
      <c r="A54" s="2" t="s">
        <v>30</v>
      </c>
      <c r="B54" s="15">
        <f>2.0274+0.1593</f>
        <v>2.1867000000000001</v>
      </c>
      <c r="C54" s="5">
        <f t="shared" si="28"/>
        <v>2.1740920550048863</v>
      </c>
      <c r="D54" s="5">
        <f t="shared" si="28"/>
        <v>2.1614841100097726</v>
      </c>
      <c r="E54" s="5">
        <f t="shared" si="28"/>
        <v>2.1488761650146588</v>
      </c>
      <c r="F54" s="5">
        <f t="shared" si="28"/>
        <v>2.1362682200195451</v>
      </c>
      <c r="G54" s="5">
        <f t="shared" si="28"/>
        <v>2.1236602750244313</v>
      </c>
      <c r="H54" s="5">
        <f t="shared" si="28"/>
        <v>2.1110523300293176</v>
      </c>
      <c r="I54" s="5">
        <f t="shared" si="28"/>
        <v>2.0984443850342038</v>
      </c>
      <c r="J54" s="5">
        <f t="shared" si="28"/>
        <v>2.0858364400390901</v>
      </c>
      <c r="K54" s="5">
        <f t="shared" si="28"/>
        <v>2.0732284950439763</v>
      </c>
      <c r="L54" s="5">
        <f>$L$51*Table361790[[#This Row],[2020%]]</f>
        <v>2.0606205500488621</v>
      </c>
      <c r="M54" s="24">
        <f t="shared" si="30"/>
        <v>0.76319279631439341</v>
      </c>
      <c r="N54" s="24">
        <f t="shared" si="30"/>
        <v>0.76319279631439341</v>
      </c>
      <c r="O54" s="24">
        <f t="shared" si="30"/>
        <v>0.7631927963143933</v>
      </c>
      <c r="P54" s="24">
        <f t="shared" si="30"/>
        <v>0.7631927963143933</v>
      </c>
      <c r="Q54" s="24">
        <f t="shared" si="30"/>
        <v>0.7631927963143933</v>
      </c>
      <c r="R54" s="24">
        <f t="shared" si="30"/>
        <v>0.7631927963143933</v>
      </c>
      <c r="S54" s="24">
        <f t="shared" si="30"/>
        <v>0.76319279631439318</v>
      </c>
      <c r="T54" s="24">
        <f t="shared" si="30"/>
        <v>0.76319279631439318</v>
      </c>
      <c r="U54" s="24">
        <f t="shared" si="30"/>
        <v>0.76319279631439318</v>
      </c>
      <c r="V54" s="24">
        <f t="shared" si="30"/>
        <v>0.76319279631439318</v>
      </c>
      <c r="W54" s="24">
        <f t="shared" si="30"/>
        <v>0.7631927963143933</v>
      </c>
    </row>
    <row r="55" spans="1:23" x14ac:dyDescent="0.35">
      <c r="A55" s="14" t="s">
        <v>33</v>
      </c>
      <c r="B55" s="15"/>
      <c r="C55" s="5"/>
      <c r="M55" s="17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35">
      <c r="A56" s="14" t="s">
        <v>34</v>
      </c>
      <c r="B56" s="15"/>
      <c r="C56" s="5"/>
      <c r="M56" s="17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35">
      <c r="A57" s="14" t="s">
        <v>36</v>
      </c>
      <c r="B57" s="15"/>
      <c r="C57" s="5"/>
      <c r="M57" s="18"/>
      <c r="N57" s="5"/>
      <c r="O57" s="5"/>
      <c r="P57" s="5"/>
      <c r="Q57" s="5"/>
      <c r="R57" s="5"/>
      <c r="S57" s="5"/>
      <c r="T57" s="5"/>
      <c r="U57" s="5"/>
      <c r="V57" s="5"/>
      <c r="W57" s="5"/>
    </row>
    <row r="60" spans="1:23" x14ac:dyDescent="0.35">
      <c r="A60" s="2" t="s">
        <v>51</v>
      </c>
    </row>
    <row r="61" spans="1:23" x14ac:dyDescent="0.35">
      <c r="A61" s="29" t="s">
        <v>50</v>
      </c>
      <c r="B61" s="20" t="s">
        <v>16</v>
      </c>
      <c r="C61" s="20" t="s">
        <v>17</v>
      </c>
      <c r="D61" s="20" t="s">
        <v>18</v>
      </c>
      <c r="E61" s="20" t="s">
        <v>19</v>
      </c>
      <c r="F61" s="20" t="s">
        <v>20</v>
      </c>
      <c r="G61" s="20" t="s">
        <v>21</v>
      </c>
      <c r="H61" s="20" t="s">
        <v>22</v>
      </c>
      <c r="I61" s="20" t="s">
        <v>23</v>
      </c>
      <c r="J61" s="20" t="s">
        <v>24</v>
      </c>
      <c r="K61" s="20" t="s">
        <v>25</v>
      </c>
      <c r="L61" s="20" t="s">
        <v>26</v>
      </c>
      <c r="M61" s="30" t="s">
        <v>38</v>
      </c>
      <c r="N61" s="30" t="s">
        <v>40</v>
      </c>
      <c r="O61" s="30" t="s">
        <v>41</v>
      </c>
      <c r="P61" s="30" t="s">
        <v>42</v>
      </c>
      <c r="Q61" s="30" t="s">
        <v>43</v>
      </c>
      <c r="R61" s="30" t="s">
        <v>44</v>
      </c>
      <c r="S61" s="30" t="s">
        <v>45</v>
      </c>
      <c r="T61" s="30" t="s">
        <v>46</v>
      </c>
      <c r="U61" s="30" t="s">
        <v>47</v>
      </c>
      <c r="V61" s="30" t="s">
        <v>48</v>
      </c>
      <c r="W61" s="31" t="s">
        <v>39</v>
      </c>
    </row>
    <row r="62" spans="1:23" x14ac:dyDescent="0.35">
      <c r="A62" s="16" t="s">
        <v>4</v>
      </c>
      <c r="B62" s="25">
        <f t="shared" ref="B62:B67" si="31">B10*11630</f>
        <v>355878</v>
      </c>
      <c r="C62" s="7">
        <f>B62+($G62-$B62)/5</f>
        <v>354249.8</v>
      </c>
      <c r="D62" s="7">
        <f t="shared" ref="D62:F62" si="32">C62+($G62-$B62)/5</f>
        <v>352621.6</v>
      </c>
      <c r="E62" s="7">
        <f t="shared" si="32"/>
        <v>350993.39999999997</v>
      </c>
      <c r="F62" s="7">
        <f t="shared" si="32"/>
        <v>349365.19999999995</v>
      </c>
      <c r="G62" s="25">
        <f>G10*11630</f>
        <v>347737</v>
      </c>
      <c r="H62" s="7">
        <f>G62+($L62-$G62)/5</f>
        <v>344945.8</v>
      </c>
      <c r="I62" s="7">
        <f t="shared" ref="I62:J62" si="33">H62+($L62-$G62)/5</f>
        <v>342154.6</v>
      </c>
      <c r="J62" s="7">
        <f t="shared" si="33"/>
        <v>339363.39999999997</v>
      </c>
      <c r="K62" s="7">
        <f>J62+($L62-$G62)/5</f>
        <v>336572.19999999995</v>
      </c>
      <c r="L62" s="25">
        <f>L10*11630</f>
        <v>333781</v>
      </c>
      <c r="M62" s="26">
        <f t="shared" ref="M62:W62" si="34">SUM(M63:M67)</f>
        <v>1.0000000000000002</v>
      </c>
      <c r="N62" s="26">
        <f t="shared" si="34"/>
        <v>1.0000000000000002</v>
      </c>
      <c r="O62" s="26">
        <f t="shared" si="34"/>
        <v>1.0000000000000002</v>
      </c>
      <c r="P62" s="26">
        <f t="shared" si="34"/>
        <v>1.0000000000000002</v>
      </c>
      <c r="Q62" s="26">
        <f t="shared" si="34"/>
        <v>1.0000000000000002</v>
      </c>
      <c r="R62" s="26">
        <f t="shared" si="34"/>
        <v>1.0000000000000002</v>
      </c>
      <c r="S62" s="26">
        <f t="shared" si="34"/>
        <v>1.0000000000000002</v>
      </c>
      <c r="T62" s="26">
        <f t="shared" si="34"/>
        <v>1.0000000000000002</v>
      </c>
      <c r="U62" s="26">
        <f t="shared" si="34"/>
        <v>1</v>
      </c>
      <c r="V62" s="26">
        <f t="shared" si="34"/>
        <v>1.0000000000000002</v>
      </c>
      <c r="W62" s="27">
        <f t="shared" si="34"/>
        <v>1.0000000000000002</v>
      </c>
    </row>
    <row r="63" spans="1:23" x14ac:dyDescent="0.35">
      <c r="A63" s="10" t="s">
        <v>13</v>
      </c>
      <c r="B63" s="25">
        <f t="shared" si="31"/>
        <v>72338.600000000035</v>
      </c>
      <c r="C63" s="28">
        <f>$M63*C$62</f>
        <v>72007.639084967363</v>
      </c>
      <c r="D63" s="28">
        <f t="shared" ref="C63:L67" si="35">$M63*D$62</f>
        <v>71676.678169934676</v>
      </c>
      <c r="E63" s="28">
        <f t="shared" si="35"/>
        <v>71345.717254901989</v>
      </c>
      <c r="F63" s="28">
        <f t="shared" si="35"/>
        <v>71014.756339869316</v>
      </c>
      <c r="G63" s="28">
        <f t="shared" si="35"/>
        <v>70683.795424836644</v>
      </c>
      <c r="H63" s="28">
        <f t="shared" si="35"/>
        <v>70116.433856209187</v>
      </c>
      <c r="I63" s="28">
        <f t="shared" si="35"/>
        <v>69549.07228758173</v>
      </c>
      <c r="J63" s="28">
        <f t="shared" si="35"/>
        <v>68981.710718954273</v>
      </c>
      <c r="K63" s="28">
        <f t="shared" si="35"/>
        <v>68414.349150326831</v>
      </c>
      <c r="L63" s="28">
        <f t="shared" si="35"/>
        <v>67846.987581699388</v>
      </c>
      <c r="M63" s="26">
        <f>B63/B$62</f>
        <v>0.20326797385620926</v>
      </c>
      <c r="N63" s="26">
        <f t="shared" ref="N63:W67" si="36">C63/C$62</f>
        <v>0.20326797385620929</v>
      </c>
      <c r="O63" s="26">
        <f t="shared" si="36"/>
        <v>0.20326797385620926</v>
      </c>
      <c r="P63" s="26">
        <f t="shared" si="36"/>
        <v>0.20326797385620926</v>
      </c>
      <c r="Q63" s="26">
        <f t="shared" si="36"/>
        <v>0.20326797385620929</v>
      </c>
      <c r="R63" s="26">
        <f t="shared" si="36"/>
        <v>0.20326797385620926</v>
      </c>
      <c r="S63" s="26">
        <f t="shared" si="36"/>
        <v>0.20326797385620926</v>
      </c>
      <c r="T63" s="26">
        <f>I63/I$62</f>
        <v>0.20326797385620926</v>
      </c>
      <c r="U63" s="26">
        <f t="shared" si="36"/>
        <v>0.20326797385620923</v>
      </c>
      <c r="V63" s="26">
        <f t="shared" si="36"/>
        <v>0.20326797385620929</v>
      </c>
      <c r="W63" s="26">
        <f t="shared" si="36"/>
        <v>0.20326797385620929</v>
      </c>
    </row>
    <row r="64" spans="1:23" x14ac:dyDescent="0.35">
      <c r="A64" s="10" t="s">
        <v>12</v>
      </c>
      <c r="B64" s="25">
        <f t="shared" si="31"/>
        <v>13955.999999999991</v>
      </c>
      <c r="C64" s="28">
        <f>$M64*C$62</f>
        <v>13892.149019607832</v>
      </c>
      <c r="D64" s="28">
        <f t="shared" si="35"/>
        <v>13828.298039215675</v>
      </c>
      <c r="E64" s="28">
        <f t="shared" si="35"/>
        <v>13764.447058823518</v>
      </c>
      <c r="F64" s="28">
        <f t="shared" si="35"/>
        <v>13700.596078431361</v>
      </c>
      <c r="G64" s="28">
        <f t="shared" si="35"/>
        <v>13636.745098039206</v>
      </c>
      <c r="H64" s="28">
        <f t="shared" si="35"/>
        <v>13527.286274509794</v>
      </c>
      <c r="I64" s="28">
        <f t="shared" si="35"/>
        <v>13417.827450980381</v>
      </c>
      <c r="J64" s="28">
        <f>$M64*J$62</f>
        <v>13308.368627450969</v>
      </c>
      <c r="K64" s="28">
        <f>$M64*K$62</f>
        <v>13198.909803921557</v>
      </c>
      <c r="L64" s="28">
        <f t="shared" si="35"/>
        <v>13089.450980392148</v>
      </c>
      <c r="M64" s="26">
        <f t="shared" ref="M64:M67" si="37">B64/B$62</f>
        <v>3.9215686274509776E-2</v>
      </c>
      <c r="N64" s="26">
        <f t="shared" si="36"/>
        <v>3.9215686274509776E-2</v>
      </c>
      <c r="O64" s="26">
        <f t="shared" si="36"/>
        <v>3.9215686274509776E-2</v>
      </c>
      <c r="P64" s="26">
        <f t="shared" si="36"/>
        <v>3.9215686274509776E-2</v>
      </c>
      <c r="Q64" s="26">
        <f t="shared" si="36"/>
        <v>3.9215686274509776E-2</v>
      </c>
      <c r="R64" s="26">
        <f t="shared" si="36"/>
        <v>3.9215686274509776E-2</v>
      </c>
      <c r="S64" s="26">
        <f t="shared" si="36"/>
        <v>3.9215686274509776E-2</v>
      </c>
      <c r="T64" s="26">
        <f t="shared" si="36"/>
        <v>3.9215686274509776E-2</v>
      </c>
      <c r="U64" s="26">
        <f t="shared" si="36"/>
        <v>3.9215686274509776E-2</v>
      </c>
      <c r="V64" s="26">
        <f t="shared" si="36"/>
        <v>3.9215686274509776E-2</v>
      </c>
      <c r="W64" s="26">
        <f t="shared" si="36"/>
        <v>3.9215686274509776E-2</v>
      </c>
    </row>
    <row r="65" spans="1:23" x14ac:dyDescent="0.35">
      <c r="A65" s="10" t="s">
        <v>11</v>
      </c>
      <c r="B65" s="25">
        <f t="shared" si="31"/>
        <v>65825.8</v>
      </c>
      <c r="C65" s="28">
        <f t="shared" si="35"/>
        <v>65524.636209150325</v>
      </c>
      <c r="D65" s="28">
        <f t="shared" si="35"/>
        <v>65223.472418300655</v>
      </c>
      <c r="E65" s="28">
        <f t="shared" si="35"/>
        <v>64922.308627450977</v>
      </c>
      <c r="F65" s="28">
        <f t="shared" si="35"/>
        <v>64621.144836601299</v>
      </c>
      <c r="G65" s="28">
        <f t="shared" si="35"/>
        <v>64319.981045751636</v>
      </c>
      <c r="H65" s="28">
        <f t="shared" si="35"/>
        <v>63803.700261437909</v>
      </c>
      <c r="I65" s="28">
        <f t="shared" si="35"/>
        <v>63287.419477124182</v>
      </c>
      <c r="J65" s="28">
        <f t="shared" si="35"/>
        <v>62771.138692810455</v>
      </c>
      <c r="K65" s="28">
        <f t="shared" si="35"/>
        <v>62254.857908496728</v>
      </c>
      <c r="L65" s="28">
        <f t="shared" si="35"/>
        <v>61738.577124183008</v>
      </c>
      <c r="M65" s="26">
        <f t="shared" si="37"/>
        <v>0.18496732026143792</v>
      </c>
      <c r="N65" s="26">
        <f t="shared" si="36"/>
        <v>0.18496732026143792</v>
      </c>
      <c r="O65" s="26">
        <f t="shared" si="36"/>
        <v>0.18496732026143792</v>
      </c>
      <c r="P65" s="26">
        <f t="shared" si="36"/>
        <v>0.18496732026143792</v>
      </c>
      <c r="Q65" s="26">
        <f t="shared" si="36"/>
        <v>0.18496732026143792</v>
      </c>
      <c r="R65" s="26">
        <f t="shared" si="36"/>
        <v>0.18496732026143792</v>
      </c>
      <c r="S65" s="26">
        <f t="shared" si="36"/>
        <v>0.18496732026143792</v>
      </c>
      <c r="T65" s="26">
        <f t="shared" si="36"/>
        <v>0.18496732026143792</v>
      </c>
      <c r="U65" s="26">
        <f t="shared" si="36"/>
        <v>0.18496732026143792</v>
      </c>
      <c r="V65" s="26">
        <f t="shared" si="36"/>
        <v>0.18496732026143792</v>
      </c>
      <c r="W65" s="26">
        <f t="shared" si="36"/>
        <v>0.18496732026143792</v>
      </c>
    </row>
    <row r="66" spans="1:23" x14ac:dyDescent="0.35">
      <c r="A66" s="10" t="s">
        <v>9</v>
      </c>
      <c r="B66" s="25">
        <f t="shared" si="31"/>
        <v>184800.7</v>
      </c>
      <c r="C66" s="28">
        <f t="shared" si="35"/>
        <v>183955.2066013072</v>
      </c>
      <c r="D66" s="28">
        <f t="shared" si="35"/>
        <v>183109.7132026144</v>
      </c>
      <c r="E66" s="28">
        <f t="shared" si="35"/>
        <v>182264.21980392156</v>
      </c>
      <c r="F66" s="28">
        <f t="shared" si="35"/>
        <v>181418.72640522875</v>
      </c>
      <c r="G66" s="28">
        <f t="shared" si="35"/>
        <v>180573.23300653597</v>
      </c>
      <c r="H66" s="28">
        <f t="shared" si="35"/>
        <v>179123.81575163399</v>
      </c>
      <c r="I66" s="28">
        <f t="shared" si="35"/>
        <v>177674.39849673203</v>
      </c>
      <c r="J66" s="28">
        <f t="shared" si="35"/>
        <v>176224.98124183007</v>
      </c>
      <c r="K66" s="28">
        <f t="shared" si="35"/>
        <v>174775.56398692809</v>
      </c>
      <c r="L66" s="28">
        <f t="shared" si="35"/>
        <v>173326.14673202616</v>
      </c>
      <c r="M66" s="26">
        <f t="shared" si="37"/>
        <v>0.51928104575163403</v>
      </c>
      <c r="N66" s="26">
        <f t="shared" si="36"/>
        <v>0.51928104575163403</v>
      </c>
      <c r="O66" s="26">
        <f t="shared" si="36"/>
        <v>0.51928104575163403</v>
      </c>
      <c r="P66" s="26">
        <f t="shared" si="36"/>
        <v>0.51928104575163403</v>
      </c>
      <c r="Q66" s="26">
        <f t="shared" si="36"/>
        <v>0.51928104575163403</v>
      </c>
      <c r="R66" s="26">
        <f t="shared" si="36"/>
        <v>0.51928104575163403</v>
      </c>
      <c r="S66" s="26">
        <f t="shared" si="36"/>
        <v>0.51928104575163403</v>
      </c>
      <c r="T66" s="26">
        <f t="shared" si="36"/>
        <v>0.51928104575163403</v>
      </c>
      <c r="U66" s="26">
        <f t="shared" si="36"/>
        <v>0.51928104575163403</v>
      </c>
      <c r="V66" s="26">
        <f t="shared" si="36"/>
        <v>0.51928104575163403</v>
      </c>
      <c r="W66" s="26">
        <f t="shared" si="36"/>
        <v>0.51928104575163403</v>
      </c>
    </row>
    <row r="67" spans="1:23" x14ac:dyDescent="0.35">
      <c r="A67" s="10" t="s">
        <v>10</v>
      </c>
      <c r="B67" s="25">
        <f t="shared" si="31"/>
        <v>18956.899999999998</v>
      </c>
      <c r="C67" s="28">
        <f t="shared" si="35"/>
        <v>18870.169084967318</v>
      </c>
      <c r="D67" s="28">
        <f t="shared" si="35"/>
        <v>18783.438169934638</v>
      </c>
      <c r="E67" s="28">
        <f t="shared" si="35"/>
        <v>18696.707254901958</v>
      </c>
      <c r="F67" s="28">
        <f t="shared" si="35"/>
        <v>18609.976339869274</v>
      </c>
      <c r="G67" s="28">
        <f t="shared" si="35"/>
        <v>18523.245424836598</v>
      </c>
      <c r="H67" s="28">
        <f t="shared" si="35"/>
        <v>18374.563856209148</v>
      </c>
      <c r="I67" s="28">
        <f t="shared" si="35"/>
        <v>18225.882287581695</v>
      </c>
      <c r="J67" s="28">
        <f t="shared" si="35"/>
        <v>18077.200718954242</v>
      </c>
      <c r="K67" s="28">
        <f t="shared" si="35"/>
        <v>17928.519150326792</v>
      </c>
      <c r="L67" s="28">
        <f t="shared" si="35"/>
        <v>17779.837581699343</v>
      </c>
      <c r="M67" s="26">
        <f t="shared" si="37"/>
        <v>5.3267973856209141E-2</v>
      </c>
      <c r="N67" s="26">
        <f t="shared" si="36"/>
        <v>5.3267973856209148E-2</v>
      </c>
      <c r="O67" s="26">
        <f t="shared" si="36"/>
        <v>5.3267973856209148E-2</v>
      </c>
      <c r="P67" s="26">
        <f t="shared" si="36"/>
        <v>5.3267973856209148E-2</v>
      </c>
      <c r="Q67" s="26">
        <f t="shared" si="36"/>
        <v>5.3267973856209135E-2</v>
      </c>
      <c r="R67" s="26">
        <f t="shared" si="36"/>
        <v>5.3267973856209141E-2</v>
      </c>
      <c r="S67" s="26">
        <f t="shared" si="36"/>
        <v>5.3267973856209148E-2</v>
      </c>
      <c r="T67" s="26">
        <f t="shared" si="36"/>
        <v>5.3267973856209141E-2</v>
      </c>
      <c r="U67" s="26">
        <f t="shared" si="36"/>
        <v>5.3267973856209135E-2</v>
      </c>
      <c r="V67" s="26">
        <f t="shared" si="36"/>
        <v>5.3267973856209141E-2</v>
      </c>
      <c r="W67" s="26">
        <f t="shared" si="36"/>
        <v>5.3267973856209141E-2</v>
      </c>
    </row>
    <row r="68" spans="1:23" x14ac:dyDescent="0.35">
      <c r="A68" s="10"/>
      <c r="B68" s="25"/>
      <c r="C68" s="7"/>
      <c r="D68" s="7"/>
      <c r="E68" s="7"/>
      <c r="F68" s="7"/>
      <c r="G68" s="7"/>
      <c r="H68" s="7"/>
      <c r="I68" s="7"/>
      <c r="J68" s="7"/>
      <c r="K68" s="7"/>
      <c r="L68" s="25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/>
    </row>
    <row r="69" spans="1:23" x14ac:dyDescent="0.35">
      <c r="A69" s="16" t="s">
        <v>5</v>
      </c>
      <c r="B69" s="25">
        <f t="shared" ref="B69:B75" si="38">B17*11630</f>
        <v>287493.59999999998</v>
      </c>
      <c r="C69" s="7">
        <f>B69+($G69-$B69)/5</f>
        <v>288842.68</v>
      </c>
      <c r="D69" s="7">
        <f t="shared" ref="D69:F69" si="39">C69+($G69-$B69)/5</f>
        <v>290191.76</v>
      </c>
      <c r="E69" s="7">
        <f t="shared" si="39"/>
        <v>291540.84000000003</v>
      </c>
      <c r="F69" s="7">
        <f t="shared" si="39"/>
        <v>292889.92000000004</v>
      </c>
      <c r="G69" s="25">
        <f>G17*11630</f>
        <v>294239</v>
      </c>
      <c r="H69" s="7">
        <f>G69+($L69-$G69)/5</f>
        <v>292843.40000000002</v>
      </c>
      <c r="I69" s="7">
        <f t="shared" ref="I69:K69" si="40">H69+($L69-$G69)/5</f>
        <v>291447.80000000005</v>
      </c>
      <c r="J69" s="7">
        <f t="shared" si="40"/>
        <v>290052.20000000007</v>
      </c>
      <c r="K69" s="7">
        <f t="shared" si="40"/>
        <v>288656.60000000009</v>
      </c>
      <c r="L69" s="25">
        <f>L17*11630</f>
        <v>287261</v>
      </c>
      <c r="M69" s="26">
        <f t="shared" ref="M69:W69" si="41">SUM(M70:M75)</f>
        <v>1</v>
      </c>
      <c r="N69" s="26">
        <f t="shared" si="41"/>
        <v>1</v>
      </c>
      <c r="O69" s="26">
        <f t="shared" si="41"/>
        <v>1</v>
      </c>
      <c r="P69" s="26">
        <f t="shared" si="41"/>
        <v>1</v>
      </c>
      <c r="Q69" s="26">
        <f t="shared" si="41"/>
        <v>1</v>
      </c>
      <c r="R69" s="26">
        <f t="shared" si="41"/>
        <v>1</v>
      </c>
      <c r="S69" s="26">
        <f t="shared" si="41"/>
        <v>1</v>
      </c>
      <c r="T69" s="26">
        <f t="shared" si="41"/>
        <v>1</v>
      </c>
      <c r="U69" s="26">
        <f t="shared" si="41"/>
        <v>1</v>
      </c>
      <c r="V69" s="26">
        <f t="shared" si="41"/>
        <v>1</v>
      </c>
      <c r="W69" s="27">
        <f t="shared" si="41"/>
        <v>1</v>
      </c>
    </row>
    <row r="70" spans="1:23" x14ac:dyDescent="0.35">
      <c r="A70" s="10" t="s">
        <v>13</v>
      </c>
      <c r="B70" s="25">
        <f t="shared" si="38"/>
        <v>6629.1000000000031</v>
      </c>
      <c r="C70" s="28">
        <f>C$69*$M70</f>
        <v>6660.2074271844704</v>
      </c>
      <c r="D70" s="28">
        <f t="shared" ref="D70:L75" si="42">D$69*$M70</f>
        <v>6691.3148543689367</v>
      </c>
      <c r="E70" s="28">
        <f t="shared" si="42"/>
        <v>6722.4222815534031</v>
      </c>
      <c r="F70" s="28">
        <f t="shared" si="42"/>
        <v>6753.5297087378694</v>
      </c>
      <c r="G70" s="28">
        <f t="shared" si="42"/>
        <v>6784.637135922334</v>
      </c>
      <c r="H70" s="28">
        <f t="shared" si="42"/>
        <v>6752.4570388349557</v>
      </c>
      <c r="I70" s="28">
        <f t="shared" si="42"/>
        <v>6720.2769417475783</v>
      </c>
      <c r="J70" s="28">
        <f t="shared" si="42"/>
        <v>6688.0968446602001</v>
      </c>
      <c r="K70" s="28">
        <f t="shared" si="42"/>
        <v>6655.9167475728218</v>
      </c>
      <c r="L70" s="28">
        <f t="shared" si="42"/>
        <v>6623.7366504854408</v>
      </c>
      <c r="M70" s="26">
        <f>B70/B$69</f>
        <v>2.305825242718448E-2</v>
      </c>
      <c r="N70" s="26">
        <f t="shared" ref="N70:W75" si="43">C70/C$69</f>
        <v>2.305825242718448E-2</v>
      </c>
      <c r="O70" s="26">
        <f t="shared" si="43"/>
        <v>2.305825242718448E-2</v>
      </c>
      <c r="P70" s="26">
        <f t="shared" si="43"/>
        <v>2.305825242718448E-2</v>
      </c>
      <c r="Q70" s="26">
        <f t="shared" si="43"/>
        <v>2.305825242718448E-2</v>
      </c>
      <c r="R70" s="26">
        <f t="shared" si="43"/>
        <v>2.305825242718448E-2</v>
      </c>
      <c r="S70" s="26">
        <f t="shared" si="43"/>
        <v>2.305825242718448E-2</v>
      </c>
      <c r="T70" s="26">
        <f t="shared" si="43"/>
        <v>2.305825242718448E-2</v>
      </c>
      <c r="U70" s="26">
        <f t="shared" si="43"/>
        <v>2.305825242718448E-2</v>
      </c>
      <c r="V70" s="26">
        <f t="shared" si="43"/>
        <v>2.305825242718448E-2</v>
      </c>
      <c r="W70" s="26">
        <f t="shared" si="43"/>
        <v>2.305825242718448E-2</v>
      </c>
    </row>
    <row r="71" spans="1:23" x14ac:dyDescent="0.35">
      <c r="A71" s="10" t="s">
        <v>12</v>
      </c>
      <c r="B71" s="25">
        <f t="shared" si="38"/>
        <v>34308.499999999993</v>
      </c>
      <c r="C71" s="28">
        <f t="shared" ref="C71:C75" si="44">C$69*$M71</f>
        <v>34469.494579288017</v>
      </c>
      <c r="D71" s="28">
        <f t="shared" si="42"/>
        <v>34630.489158576049</v>
      </c>
      <c r="E71" s="28">
        <f t="shared" si="42"/>
        <v>34791.483737864073</v>
      </c>
      <c r="F71" s="28">
        <f t="shared" si="42"/>
        <v>34952.478317152105</v>
      </c>
      <c r="G71" s="28">
        <f t="shared" si="42"/>
        <v>35113.472896440122</v>
      </c>
      <c r="H71" s="28">
        <f t="shared" si="42"/>
        <v>34946.926779935275</v>
      </c>
      <c r="I71" s="28">
        <f t="shared" si="42"/>
        <v>34780.38066343042</v>
      </c>
      <c r="J71" s="28">
        <f t="shared" si="42"/>
        <v>34613.834546925573</v>
      </c>
      <c r="K71" s="28">
        <f t="shared" si="42"/>
        <v>34447.288430420718</v>
      </c>
      <c r="L71" s="28">
        <f t="shared" si="42"/>
        <v>34280.742313915856</v>
      </c>
      <c r="M71" s="26">
        <f t="shared" ref="M71:M75" si="45">B71/B$69</f>
        <v>0.11933656957928801</v>
      </c>
      <c r="N71" s="26">
        <f t="shared" si="43"/>
        <v>0.119336569579288</v>
      </c>
      <c r="O71" s="26">
        <f t="shared" si="43"/>
        <v>0.11933656957928801</v>
      </c>
      <c r="P71" s="26">
        <f t="shared" si="43"/>
        <v>0.119336569579288</v>
      </c>
      <c r="Q71" s="26">
        <f t="shared" si="43"/>
        <v>0.11933656957928801</v>
      </c>
      <c r="R71" s="26">
        <f t="shared" si="43"/>
        <v>0.119336569579288</v>
      </c>
      <c r="S71" s="26">
        <f t="shared" si="43"/>
        <v>0.11933656957928801</v>
      </c>
      <c r="T71" s="26">
        <f t="shared" si="43"/>
        <v>0.11933656957928801</v>
      </c>
      <c r="U71" s="26">
        <f t="shared" si="43"/>
        <v>0.11933656957928802</v>
      </c>
      <c r="V71" s="26">
        <f t="shared" si="43"/>
        <v>0.11933656957928801</v>
      </c>
      <c r="W71" s="26">
        <f t="shared" si="43"/>
        <v>0.11933656957928802</v>
      </c>
    </row>
    <row r="72" spans="1:23" x14ac:dyDescent="0.35">
      <c r="A72" s="10" t="s">
        <v>11</v>
      </c>
      <c r="B72" s="25">
        <f t="shared" si="38"/>
        <v>111066.49999999999</v>
      </c>
      <c r="C72" s="28">
        <f t="shared" si="44"/>
        <v>111587.68584142394</v>
      </c>
      <c r="D72" s="28">
        <f t="shared" si="42"/>
        <v>112108.87168284789</v>
      </c>
      <c r="E72" s="28">
        <f t="shared" si="42"/>
        <v>112630.05752427185</v>
      </c>
      <c r="F72" s="28">
        <f t="shared" si="42"/>
        <v>113151.2433656958</v>
      </c>
      <c r="G72" s="28">
        <f t="shared" si="42"/>
        <v>113672.42920711973</v>
      </c>
      <c r="H72" s="28">
        <f t="shared" si="42"/>
        <v>113133.27144012945</v>
      </c>
      <c r="I72" s="28">
        <f t="shared" si="42"/>
        <v>112594.11367313917</v>
      </c>
      <c r="J72" s="28">
        <f t="shared" si="42"/>
        <v>112054.95590614888</v>
      </c>
      <c r="K72" s="28">
        <f t="shared" si="42"/>
        <v>111515.79813915861</v>
      </c>
      <c r="L72" s="28">
        <f t="shared" si="42"/>
        <v>110976.64037216827</v>
      </c>
      <c r="M72" s="26">
        <f t="shared" si="45"/>
        <v>0.38632686084142392</v>
      </c>
      <c r="N72" s="26">
        <f t="shared" si="43"/>
        <v>0.38632686084142392</v>
      </c>
      <c r="O72" s="26">
        <f t="shared" si="43"/>
        <v>0.38632686084142392</v>
      </c>
      <c r="P72" s="26">
        <f t="shared" si="43"/>
        <v>0.38632686084142392</v>
      </c>
      <c r="Q72" s="26">
        <f t="shared" si="43"/>
        <v>0.38632686084142392</v>
      </c>
      <c r="R72" s="26">
        <f t="shared" si="43"/>
        <v>0.38632686084142392</v>
      </c>
      <c r="S72" s="26">
        <f t="shared" si="43"/>
        <v>0.38632686084142392</v>
      </c>
      <c r="T72" s="26">
        <f t="shared" si="43"/>
        <v>0.38632686084142392</v>
      </c>
      <c r="U72" s="26">
        <f t="shared" si="43"/>
        <v>0.38632686084142392</v>
      </c>
      <c r="V72" s="26">
        <f t="shared" si="43"/>
        <v>0.38632686084142392</v>
      </c>
      <c r="W72" s="26">
        <f t="shared" si="43"/>
        <v>0.38632686084142392</v>
      </c>
    </row>
    <row r="73" spans="1:23" x14ac:dyDescent="0.35">
      <c r="A73" s="10" t="s">
        <v>9</v>
      </c>
      <c r="B73" s="25">
        <f t="shared" si="38"/>
        <v>98273.499999999985</v>
      </c>
      <c r="C73" s="28">
        <f t="shared" si="44"/>
        <v>98734.653964401281</v>
      </c>
      <c r="D73" s="28">
        <f t="shared" si="42"/>
        <v>99195.807928802591</v>
      </c>
      <c r="E73" s="28">
        <f t="shared" si="42"/>
        <v>99656.961893203887</v>
      </c>
      <c r="F73" s="28">
        <f t="shared" si="42"/>
        <v>100118.11585760518</v>
      </c>
      <c r="G73" s="28">
        <f t="shared" si="42"/>
        <v>100579.26982200646</v>
      </c>
      <c r="H73" s="28">
        <f t="shared" si="42"/>
        <v>100102.21399676375</v>
      </c>
      <c r="I73" s="28">
        <f t="shared" si="42"/>
        <v>99625.158171521049</v>
      </c>
      <c r="J73" s="28">
        <f t="shared" si="42"/>
        <v>99148.102346278334</v>
      </c>
      <c r="K73" s="28">
        <f t="shared" si="42"/>
        <v>98671.04652103562</v>
      </c>
      <c r="L73" s="28">
        <f t="shared" si="42"/>
        <v>98193.990695792876</v>
      </c>
      <c r="M73" s="26">
        <f t="shared" si="45"/>
        <v>0.34182847896440127</v>
      </c>
      <c r="N73" s="26">
        <f t="shared" si="43"/>
        <v>0.34182847896440127</v>
      </c>
      <c r="O73" s="26">
        <f t="shared" si="43"/>
        <v>0.34182847896440127</v>
      </c>
      <c r="P73" s="26">
        <f t="shared" si="43"/>
        <v>0.34182847896440127</v>
      </c>
      <c r="Q73" s="26">
        <f t="shared" si="43"/>
        <v>0.34182847896440127</v>
      </c>
      <c r="R73" s="26">
        <f t="shared" si="43"/>
        <v>0.34182847896440127</v>
      </c>
      <c r="S73" s="26">
        <f t="shared" si="43"/>
        <v>0.34182847896440127</v>
      </c>
      <c r="T73" s="26">
        <f t="shared" si="43"/>
        <v>0.34182847896440127</v>
      </c>
      <c r="U73" s="26">
        <f t="shared" si="43"/>
        <v>0.34182847896440127</v>
      </c>
      <c r="V73" s="26">
        <f t="shared" si="43"/>
        <v>0.34182847896440127</v>
      </c>
      <c r="W73" s="26">
        <f t="shared" si="43"/>
        <v>0.34182847896440127</v>
      </c>
    </row>
    <row r="74" spans="1:23" x14ac:dyDescent="0.35">
      <c r="A74" s="10" t="s">
        <v>10</v>
      </c>
      <c r="B74" s="25">
        <f t="shared" si="38"/>
        <v>19422.100000000002</v>
      </c>
      <c r="C74" s="28">
        <f t="shared" si="44"/>
        <v>19513.239304207123</v>
      </c>
      <c r="D74" s="28">
        <f t="shared" si="42"/>
        <v>19604.378608414245</v>
      </c>
      <c r="E74" s="28">
        <f t="shared" si="42"/>
        <v>19695.517912621366</v>
      </c>
      <c r="F74" s="28">
        <f t="shared" si="42"/>
        <v>19786.657216828487</v>
      </c>
      <c r="G74" s="28">
        <f t="shared" si="42"/>
        <v>19877.796521035605</v>
      </c>
      <c r="H74" s="28">
        <f t="shared" si="42"/>
        <v>19783.514482200655</v>
      </c>
      <c r="I74" s="28">
        <f t="shared" si="42"/>
        <v>19689.232443365705</v>
      </c>
      <c r="J74" s="28">
        <f t="shared" si="42"/>
        <v>19594.950404530755</v>
      </c>
      <c r="K74" s="28">
        <f t="shared" si="42"/>
        <v>19500.668365695805</v>
      </c>
      <c r="L74" s="28">
        <f t="shared" si="42"/>
        <v>19406.386326860847</v>
      </c>
      <c r="M74" s="26">
        <f t="shared" si="45"/>
        <v>6.7556634304207136E-2</v>
      </c>
      <c r="N74" s="26">
        <f t="shared" si="43"/>
        <v>6.7556634304207136E-2</v>
      </c>
      <c r="O74" s="26">
        <f t="shared" si="43"/>
        <v>6.7556634304207136E-2</v>
      </c>
      <c r="P74" s="26">
        <f t="shared" si="43"/>
        <v>6.7556634304207136E-2</v>
      </c>
      <c r="Q74" s="26">
        <f t="shared" si="43"/>
        <v>6.7556634304207136E-2</v>
      </c>
      <c r="R74" s="26">
        <f t="shared" si="43"/>
        <v>6.7556634304207136E-2</v>
      </c>
      <c r="S74" s="26">
        <f t="shared" si="43"/>
        <v>6.7556634304207136E-2</v>
      </c>
      <c r="T74" s="26">
        <f t="shared" si="43"/>
        <v>6.7556634304207136E-2</v>
      </c>
      <c r="U74" s="26">
        <f t="shared" si="43"/>
        <v>6.7556634304207136E-2</v>
      </c>
      <c r="V74" s="26">
        <f t="shared" si="43"/>
        <v>6.7556634304207136E-2</v>
      </c>
      <c r="W74" s="26">
        <f t="shared" si="43"/>
        <v>6.7556634304207136E-2</v>
      </c>
    </row>
    <row r="75" spans="1:23" x14ac:dyDescent="0.35">
      <c r="A75" s="10" t="s">
        <v>14</v>
      </c>
      <c r="B75" s="25">
        <f t="shared" si="38"/>
        <v>17793.900000000001</v>
      </c>
      <c r="C75" s="28">
        <f t="shared" si="44"/>
        <v>17877.398883495149</v>
      </c>
      <c r="D75" s="28">
        <f t="shared" si="42"/>
        <v>17960.897766990292</v>
      </c>
      <c r="E75" s="28">
        <f t="shared" si="42"/>
        <v>18044.39665048544</v>
      </c>
      <c r="F75" s="28">
        <f t="shared" si="42"/>
        <v>18127.895533980587</v>
      </c>
      <c r="G75" s="28">
        <f t="shared" si="42"/>
        <v>18211.394417475731</v>
      </c>
      <c r="H75" s="28">
        <f t="shared" si="42"/>
        <v>18125.016262135927</v>
      </c>
      <c r="I75" s="28">
        <f t="shared" si="42"/>
        <v>18038.638106796123</v>
      </c>
      <c r="J75" s="28">
        <f t="shared" si="42"/>
        <v>17952.259951456315</v>
      </c>
      <c r="K75" s="28">
        <f t="shared" si="42"/>
        <v>17865.881796116511</v>
      </c>
      <c r="L75" s="28">
        <f t="shared" si="42"/>
        <v>17779.5036407767</v>
      </c>
      <c r="M75" s="26">
        <f t="shared" si="45"/>
        <v>6.1893203883495153E-2</v>
      </c>
      <c r="N75" s="26">
        <f t="shared" si="43"/>
        <v>6.189320388349516E-2</v>
      </c>
      <c r="O75" s="26">
        <f t="shared" si="43"/>
        <v>6.1893203883495146E-2</v>
      </c>
      <c r="P75" s="26">
        <f t="shared" si="43"/>
        <v>6.1893203883495153E-2</v>
      </c>
      <c r="Q75" s="26">
        <f t="shared" si="43"/>
        <v>6.1893203883495153E-2</v>
      </c>
      <c r="R75" s="26">
        <f t="shared" si="43"/>
        <v>6.1893203883495153E-2</v>
      </c>
      <c r="S75" s="26">
        <f t="shared" si="43"/>
        <v>6.1893203883495153E-2</v>
      </c>
      <c r="T75" s="26">
        <f t="shared" si="43"/>
        <v>6.189320388349516E-2</v>
      </c>
      <c r="U75" s="26">
        <f t="shared" si="43"/>
        <v>6.1893203883495146E-2</v>
      </c>
      <c r="V75" s="26">
        <f t="shared" si="43"/>
        <v>6.1893203883495146E-2</v>
      </c>
      <c r="W75" s="26">
        <f t="shared" si="43"/>
        <v>6.1893203883495153E-2</v>
      </c>
    </row>
    <row r="76" spans="1:23" x14ac:dyDescent="0.35">
      <c r="A76" s="8"/>
      <c r="B76" s="25"/>
      <c r="C76" s="28"/>
      <c r="D76" s="28"/>
      <c r="E76" s="28"/>
      <c r="F76" s="28"/>
      <c r="G76" s="7"/>
      <c r="H76" s="7"/>
      <c r="I76" s="7"/>
      <c r="J76" s="7"/>
      <c r="K76" s="7"/>
      <c r="L76" s="25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/>
    </row>
    <row r="77" spans="1:23" x14ac:dyDescent="0.35">
      <c r="A77" s="16" t="s">
        <v>6</v>
      </c>
      <c r="B77" s="25">
        <f>B25*11630</f>
        <v>374951.2</v>
      </c>
      <c r="C77" s="7">
        <f>B77+($G77-$B77)/5</f>
        <v>384394.76</v>
      </c>
      <c r="D77" s="7">
        <f t="shared" ref="D77:F77" si="46">C77+($G77-$B77)/5</f>
        <v>393838.32</v>
      </c>
      <c r="E77" s="7">
        <f t="shared" si="46"/>
        <v>403281.88</v>
      </c>
      <c r="F77" s="7">
        <f t="shared" si="46"/>
        <v>412725.44</v>
      </c>
      <c r="G77" s="25">
        <f>G25*11630</f>
        <v>422168.99999999994</v>
      </c>
      <c r="H77" s="7">
        <f>G77+($L77-$G77)/5</f>
        <v>418912.6</v>
      </c>
      <c r="I77" s="7">
        <f t="shared" ref="I77:K77" si="47">H77+($L77-$G77)/5</f>
        <v>415656.2</v>
      </c>
      <c r="J77" s="7">
        <f t="shared" si="47"/>
        <v>412399.80000000005</v>
      </c>
      <c r="K77" s="7">
        <f t="shared" si="47"/>
        <v>409143.40000000008</v>
      </c>
      <c r="L77" s="25">
        <f>L25*11630</f>
        <v>405887</v>
      </c>
      <c r="M77" s="26">
        <f t="shared" ref="M77:W77" si="48">SUM(M78:M81)</f>
        <v>1</v>
      </c>
      <c r="N77" s="26">
        <f t="shared" si="48"/>
        <v>1</v>
      </c>
      <c r="O77" s="26">
        <f t="shared" si="48"/>
        <v>1</v>
      </c>
      <c r="P77" s="26">
        <f t="shared" si="48"/>
        <v>1</v>
      </c>
      <c r="Q77" s="26">
        <f t="shared" si="48"/>
        <v>1</v>
      </c>
      <c r="R77" s="26">
        <f t="shared" si="48"/>
        <v>1</v>
      </c>
      <c r="S77" s="26">
        <f t="shared" si="48"/>
        <v>0.99999999999999989</v>
      </c>
      <c r="T77" s="26">
        <f t="shared" si="48"/>
        <v>1</v>
      </c>
      <c r="U77" s="26">
        <f t="shared" si="48"/>
        <v>1</v>
      </c>
      <c r="V77" s="26">
        <f t="shared" si="48"/>
        <v>1</v>
      </c>
      <c r="W77" s="27">
        <f t="shared" si="48"/>
        <v>1</v>
      </c>
    </row>
    <row r="78" spans="1:23" x14ac:dyDescent="0.35">
      <c r="A78" s="10" t="s">
        <v>11</v>
      </c>
      <c r="B78" s="25">
        <f>B26*11630</f>
        <v>11513.700000000023</v>
      </c>
      <c r="C78" s="28">
        <f>C$77*$M78</f>
        <v>11803.685248138981</v>
      </c>
      <c r="D78" s="28">
        <f t="shared" ref="D78:L78" si="49">D$77*$M78</f>
        <v>12093.67049627794</v>
      </c>
      <c r="E78" s="28">
        <f t="shared" si="49"/>
        <v>12383.655744416898</v>
      </c>
      <c r="F78" s="28">
        <f t="shared" si="49"/>
        <v>12673.640992555856</v>
      </c>
      <c r="G78" s="28">
        <f t="shared" si="49"/>
        <v>12963.626240694814</v>
      </c>
      <c r="H78" s="28">
        <f t="shared" si="49"/>
        <v>12863.63132754345</v>
      </c>
      <c r="I78" s="28">
        <f t="shared" si="49"/>
        <v>12763.636414392085</v>
      </c>
      <c r="J78" s="28">
        <f t="shared" si="49"/>
        <v>12663.641501240721</v>
      </c>
      <c r="K78" s="28">
        <f t="shared" si="49"/>
        <v>12563.646588089357</v>
      </c>
      <c r="L78" s="28">
        <f t="shared" si="49"/>
        <v>12463.65167493799</v>
      </c>
      <c r="M78" s="26">
        <f>B78/B$77</f>
        <v>3.0707196029776736E-2</v>
      </c>
      <c r="N78" s="26">
        <f t="shared" ref="N78:W81" si="50">C78/C$77</f>
        <v>3.0707196029776736E-2</v>
      </c>
      <c r="O78" s="26">
        <f t="shared" si="50"/>
        <v>3.0707196029776736E-2</v>
      </c>
      <c r="P78" s="26">
        <f t="shared" si="50"/>
        <v>3.0707196029776736E-2</v>
      </c>
      <c r="Q78" s="26">
        <f t="shared" si="50"/>
        <v>3.0707196029776736E-2</v>
      </c>
      <c r="R78" s="26">
        <f t="shared" si="50"/>
        <v>3.0707196029776736E-2</v>
      </c>
      <c r="S78" s="26">
        <f t="shared" si="50"/>
        <v>3.0707196029776736E-2</v>
      </c>
      <c r="T78" s="26">
        <f t="shared" si="50"/>
        <v>3.0707196029776736E-2</v>
      </c>
      <c r="U78" s="26">
        <f t="shared" si="50"/>
        <v>3.0707196029776736E-2</v>
      </c>
      <c r="V78" s="26">
        <f t="shared" si="50"/>
        <v>3.0707196029776736E-2</v>
      </c>
      <c r="W78" s="26">
        <f t="shared" si="50"/>
        <v>3.0707196029776736E-2</v>
      </c>
    </row>
    <row r="79" spans="1:23" x14ac:dyDescent="0.35">
      <c r="A79" s="10" t="s">
        <v>15</v>
      </c>
      <c r="B79" s="25">
        <f>B27*11630</f>
        <v>14304.900000000005</v>
      </c>
      <c r="C79" s="28">
        <f t="shared" ref="C79:L81" si="51">C$77*$M79</f>
        <v>14665.184702233257</v>
      </c>
      <c r="D79" s="28">
        <f t="shared" si="51"/>
        <v>15025.469404466507</v>
      </c>
      <c r="E79" s="28">
        <f t="shared" si="51"/>
        <v>15385.754106699756</v>
      </c>
      <c r="F79" s="28">
        <f t="shared" si="51"/>
        <v>15746.038808933008</v>
      </c>
      <c r="G79" s="28">
        <f t="shared" si="51"/>
        <v>16106.323511166256</v>
      </c>
      <c r="H79" s="28">
        <f t="shared" si="51"/>
        <v>15982.087406947896</v>
      </c>
      <c r="I79" s="28">
        <f t="shared" si="51"/>
        <v>15857.851302729534</v>
      </c>
      <c r="J79" s="28">
        <f t="shared" si="51"/>
        <v>15733.615198511174</v>
      </c>
      <c r="K79" s="28">
        <f t="shared" si="51"/>
        <v>15609.379094292812</v>
      </c>
      <c r="L79" s="28">
        <f t="shared" si="51"/>
        <v>15485.142990074448</v>
      </c>
      <c r="M79" s="26">
        <f t="shared" ref="M79:M81" si="52">B79/B$77</f>
        <v>3.8151364764268003E-2</v>
      </c>
      <c r="N79" s="26">
        <f t="shared" si="50"/>
        <v>3.8151364764268003E-2</v>
      </c>
      <c r="O79" s="26">
        <f t="shared" si="50"/>
        <v>3.8151364764268003E-2</v>
      </c>
      <c r="P79" s="26">
        <f t="shared" si="50"/>
        <v>3.8151364764268003E-2</v>
      </c>
      <c r="Q79" s="26">
        <f t="shared" si="50"/>
        <v>3.8151364764268003E-2</v>
      </c>
      <c r="R79" s="26">
        <f t="shared" si="50"/>
        <v>3.8151364764268003E-2</v>
      </c>
      <c r="S79" s="26">
        <f t="shared" si="50"/>
        <v>3.8151364764268003E-2</v>
      </c>
      <c r="T79" s="26">
        <f t="shared" si="50"/>
        <v>3.8151364764268003E-2</v>
      </c>
      <c r="U79" s="26">
        <f t="shared" si="50"/>
        <v>3.8151364764268003E-2</v>
      </c>
      <c r="V79" s="26">
        <f t="shared" si="50"/>
        <v>3.8151364764268003E-2</v>
      </c>
      <c r="W79" s="26">
        <f t="shared" si="50"/>
        <v>3.8151364764268003E-2</v>
      </c>
    </row>
    <row r="80" spans="1:23" x14ac:dyDescent="0.35">
      <c r="A80" s="2" t="s">
        <v>83</v>
      </c>
      <c r="B80" s="25">
        <f>B28*11630</f>
        <v>8606.1999999999825</v>
      </c>
      <c r="C80" s="28">
        <f t="shared" si="51"/>
        <v>8822.9566501240515</v>
      </c>
      <c r="D80" s="28">
        <f t="shared" si="51"/>
        <v>9039.7133002481205</v>
      </c>
      <c r="E80" s="28">
        <f t="shared" si="51"/>
        <v>9256.4699503721895</v>
      </c>
      <c r="F80" s="28">
        <f t="shared" si="51"/>
        <v>9473.2266004962585</v>
      </c>
      <c r="G80" s="28">
        <f t="shared" si="51"/>
        <v>9689.9832506203256</v>
      </c>
      <c r="H80" s="28">
        <f t="shared" si="51"/>
        <v>9615.2395781637515</v>
      </c>
      <c r="I80" s="28">
        <f t="shared" si="51"/>
        <v>9540.4959057071774</v>
      </c>
      <c r="J80" s="28">
        <f t="shared" si="51"/>
        <v>9465.7522332506014</v>
      </c>
      <c r="K80" s="28">
        <f t="shared" si="51"/>
        <v>9391.0085607940273</v>
      </c>
      <c r="L80" s="28">
        <f t="shared" si="51"/>
        <v>9316.2648883374495</v>
      </c>
      <c r="M80" s="26">
        <f t="shared" si="52"/>
        <v>2.2952853598014841E-2</v>
      </c>
      <c r="N80" s="26">
        <f t="shared" si="50"/>
        <v>2.2952853598014841E-2</v>
      </c>
      <c r="O80" s="26">
        <f t="shared" si="50"/>
        <v>2.2952853598014841E-2</v>
      </c>
      <c r="P80" s="26">
        <f t="shared" si="50"/>
        <v>2.2952853598014841E-2</v>
      </c>
      <c r="Q80" s="26">
        <f t="shared" si="50"/>
        <v>2.2952853598014841E-2</v>
      </c>
      <c r="R80" s="26">
        <f t="shared" si="50"/>
        <v>2.2952853598014841E-2</v>
      </c>
      <c r="S80" s="26">
        <f t="shared" si="50"/>
        <v>2.2952853598014841E-2</v>
      </c>
      <c r="T80" s="26">
        <f t="shared" si="50"/>
        <v>2.2952853598014841E-2</v>
      </c>
      <c r="U80" s="26">
        <f t="shared" si="50"/>
        <v>2.2952853598014841E-2</v>
      </c>
      <c r="V80" s="26">
        <f t="shared" si="50"/>
        <v>2.2952853598014841E-2</v>
      </c>
      <c r="W80" s="26">
        <f t="shared" si="50"/>
        <v>2.2952853598014841E-2</v>
      </c>
    </row>
    <row r="81" spans="1:23" x14ac:dyDescent="0.35">
      <c r="A81" s="2" t="s">
        <v>80</v>
      </c>
      <c r="B81" s="25">
        <f>B29*11630</f>
        <v>340526.4</v>
      </c>
      <c r="C81" s="28">
        <f t="shared" si="51"/>
        <v>349102.93339950376</v>
      </c>
      <c r="D81" s="28">
        <f t="shared" si="51"/>
        <v>357679.46679900744</v>
      </c>
      <c r="E81" s="28">
        <f t="shared" si="51"/>
        <v>366256.00019851117</v>
      </c>
      <c r="F81" s="28">
        <f t="shared" si="51"/>
        <v>374832.53359801491</v>
      </c>
      <c r="G81" s="28">
        <f t="shared" si="51"/>
        <v>383409.06699751859</v>
      </c>
      <c r="H81" s="28">
        <f t="shared" si="51"/>
        <v>380451.64168734488</v>
      </c>
      <c r="I81" s="28">
        <f t="shared" si="51"/>
        <v>377494.21637717122</v>
      </c>
      <c r="J81" s="28">
        <f t="shared" si="51"/>
        <v>374536.79106699757</v>
      </c>
      <c r="K81" s="28">
        <f t="shared" si="51"/>
        <v>371579.36575682391</v>
      </c>
      <c r="L81" s="28">
        <f t="shared" si="51"/>
        <v>368621.94044665014</v>
      </c>
      <c r="M81" s="26">
        <f t="shared" si="52"/>
        <v>0.90818858560794047</v>
      </c>
      <c r="N81" s="26">
        <f t="shared" si="50"/>
        <v>0.90818858560794047</v>
      </c>
      <c r="O81" s="26">
        <f t="shared" si="50"/>
        <v>0.90818858560794047</v>
      </c>
      <c r="P81" s="26">
        <f t="shared" si="50"/>
        <v>0.90818858560794047</v>
      </c>
      <c r="Q81" s="26">
        <f t="shared" si="50"/>
        <v>0.90818858560794047</v>
      </c>
      <c r="R81" s="26">
        <f t="shared" si="50"/>
        <v>0.90818858560794047</v>
      </c>
      <c r="S81" s="26">
        <f t="shared" si="50"/>
        <v>0.90818858560794036</v>
      </c>
      <c r="T81" s="26">
        <f t="shared" si="50"/>
        <v>0.90818858560794047</v>
      </c>
      <c r="U81" s="26">
        <f t="shared" si="50"/>
        <v>0.90818858560794047</v>
      </c>
      <c r="V81" s="26">
        <f t="shared" si="50"/>
        <v>0.90818858560794047</v>
      </c>
      <c r="W81" s="26">
        <f t="shared" si="50"/>
        <v>0.90818858560794047</v>
      </c>
    </row>
    <row r="82" spans="1:23" x14ac:dyDescent="0.35">
      <c r="A82" s="2"/>
      <c r="B82" s="25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</row>
    <row r="83" spans="1:23" x14ac:dyDescent="0.35">
      <c r="A83" s="2" t="s">
        <v>31</v>
      </c>
      <c r="B83" s="32">
        <f t="shared" ref="B83:B88" si="53">B41*11630</f>
        <v>172063.524</v>
      </c>
      <c r="C83" s="28">
        <f>B83+($G83-$B83)/5</f>
        <v>171836.97160000002</v>
      </c>
      <c r="D83" s="28">
        <f>C83+($G83-$B83)/5</f>
        <v>171610.41920000003</v>
      </c>
      <c r="E83" s="28">
        <f>D83+($G83-$B83)/5</f>
        <v>171383.86680000005</v>
      </c>
      <c r="F83" s="28">
        <f>E83+($G83-$B83)/5</f>
        <v>171157.31440000006</v>
      </c>
      <c r="G83" s="32">
        <f>G41*11630</f>
        <v>170930.76200000002</v>
      </c>
      <c r="H83" s="28">
        <f>G83+($L83-$G83)/5</f>
        <v>170704.2096</v>
      </c>
      <c r="I83" s="28">
        <f>H83+($L83-$G83)/5</f>
        <v>170477.65719999999</v>
      </c>
      <c r="J83" s="28">
        <f>I83+($L83-$G83)/5</f>
        <v>170251.10479999997</v>
      </c>
      <c r="K83" s="28">
        <f>J83+($L83-$G83)/5</f>
        <v>170024.55239999996</v>
      </c>
      <c r="L83" s="32">
        <f>L41*11630</f>
        <v>169798</v>
      </c>
      <c r="M83" s="26">
        <f>SUM(M84:M88)</f>
        <v>1</v>
      </c>
      <c r="N83" s="26">
        <f t="shared" ref="N83:W83" si="54">SUM(N84:N88)</f>
        <v>1</v>
      </c>
      <c r="O83" s="26">
        <f t="shared" si="54"/>
        <v>1</v>
      </c>
      <c r="P83" s="26">
        <f t="shared" si="54"/>
        <v>1</v>
      </c>
      <c r="Q83" s="26">
        <f t="shared" si="54"/>
        <v>1.0000000000000002</v>
      </c>
      <c r="R83" s="26">
        <f t="shared" si="54"/>
        <v>1.0000000000000002</v>
      </c>
      <c r="S83" s="26">
        <f t="shared" si="54"/>
        <v>1.0000000000000002</v>
      </c>
      <c r="T83" s="26">
        <f t="shared" si="54"/>
        <v>1</v>
      </c>
      <c r="U83" s="26">
        <f t="shared" si="54"/>
        <v>1</v>
      </c>
      <c r="V83" s="26">
        <f t="shared" si="54"/>
        <v>1</v>
      </c>
      <c r="W83" s="26">
        <f t="shared" si="54"/>
        <v>1</v>
      </c>
    </row>
    <row r="84" spans="1:23" x14ac:dyDescent="0.35">
      <c r="A84" s="2" t="s">
        <v>13</v>
      </c>
      <c r="B84" s="32">
        <f t="shared" si="53"/>
        <v>2825.5052072480098</v>
      </c>
      <c r="C84" s="28">
        <f t="shared" ref="C84:L88" si="55">C$83*$M84</f>
        <v>2821.7849243488026</v>
      </c>
      <c r="D84" s="28">
        <f t="shared" si="55"/>
        <v>2818.0646414495955</v>
      </c>
      <c r="E84" s="28">
        <f t="shared" si="55"/>
        <v>2814.3443585503887</v>
      </c>
      <c r="F84" s="28">
        <f t="shared" si="55"/>
        <v>2810.6240756511816</v>
      </c>
      <c r="G84" s="28">
        <f t="shared" si="55"/>
        <v>2806.9037927519735</v>
      </c>
      <c r="H84" s="28">
        <f t="shared" si="55"/>
        <v>2803.1835098527663</v>
      </c>
      <c r="I84" s="28">
        <f t="shared" si="55"/>
        <v>2799.4632269535587</v>
      </c>
      <c r="J84" s="28">
        <f t="shared" si="55"/>
        <v>2795.742944054351</v>
      </c>
      <c r="K84" s="28">
        <f t="shared" si="55"/>
        <v>2792.0226611551439</v>
      </c>
      <c r="L84" s="28">
        <f t="shared" si="55"/>
        <v>2788.3023782559371</v>
      </c>
      <c r="M84" s="26">
        <f t="shared" ref="M84:W88" si="56">B84/B$83</f>
        <v>1.6421291053227583E-2</v>
      </c>
      <c r="N84" s="26">
        <f t="shared" si="56"/>
        <v>1.6421291053227583E-2</v>
      </c>
      <c r="O84" s="26">
        <f t="shared" si="56"/>
        <v>1.6421291053227583E-2</v>
      </c>
      <c r="P84" s="26">
        <f t="shared" si="56"/>
        <v>1.6421291053227583E-2</v>
      </c>
      <c r="Q84" s="26">
        <f t="shared" si="56"/>
        <v>1.6421291053227583E-2</v>
      </c>
      <c r="R84" s="26">
        <f t="shared" si="56"/>
        <v>1.6421291053227583E-2</v>
      </c>
      <c r="S84" s="26">
        <f t="shared" si="56"/>
        <v>1.6421291053227583E-2</v>
      </c>
      <c r="T84" s="26">
        <f t="shared" si="56"/>
        <v>1.6421291053227583E-2</v>
      </c>
      <c r="U84" s="26">
        <f t="shared" si="56"/>
        <v>1.6421291053227583E-2</v>
      </c>
      <c r="V84" s="26">
        <f t="shared" si="56"/>
        <v>1.6421291053227583E-2</v>
      </c>
      <c r="W84" s="26">
        <f t="shared" si="56"/>
        <v>1.6421291053227583E-2</v>
      </c>
    </row>
    <row r="85" spans="1:23" x14ac:dyDescent="0.35">
      <c r="A85" s="2" t="s">
        <v>12</v>
      </c>
      <c r="B85" s="32">
        <f t="shared" si="53"/>
        <v>5358.7167723669381</v>
      </c>
      <c r="C85" s="28">
        <f t="shared" si="55"/>
        <v>5351.6610634201661</v>
      </c>
      <c r="D85" s="28">
        <f t="shared" si="55"/>
        <v>5344.6053544733941</v>
      </c>
      <c r="E85" s="28">
        <f t="shared" si="55"/>
        <v>5337.549645526622</v>
      </c>
      <c r="F85" s="28">
        <f t="shared" si="55"/>
        <v>5330.49393657985</v>
      </c>
      <c r="G85" s="28">
        <f t="shared" si="55"/>
        <v>5323.4382276330762</v>
      </c>
      <c r="H85" s="28">
        <f t="shared" si="55"/>
        <v>5316.3825186863032</v>
      </c>
      <c r="I85" s="28">
        <f t="shared" si="55"/>
        <v>5309.3268097395303</v>
      </c>
      <c r="J85" s="28">
        <f t="shared" si="55"/>
        <v>5302.2711007927583</v>
      </c>
      <c r="K85" s="28">
        <f t="shared" si="55"/>
        <v>5295.2153918459853</v>
      </c>
      <c r="L85" s="28">
        <f t="shared" si="55"/>
        <v>5288.1596828992142</v>
      </c>
      <c r="M85" s="26">
        <f t="shared" si="56"/>
        <v>3.1143827859569689E-2</v>
      </c>
      <c r="N85" s="26">
        <f t="shared" si="56"/>
        <v>3.1143827859569689E-2</v>
      </c>
      <c r="O85" s="26">
        <f t="shared" si="56"/>
        <v>3.1143827859569689E-2</v>
      </c>
      <c r="P85" s="26">
        <f t="shared" si="56"/>
        <v>3.1143827859569689E-2</v>
      </c>
      <c r="Q85" s="26">
        <f t="shared" si="56"/>
        <v>3.1143827859569689E-2</v>
      </c>
      <c r="R85" s="26">
        <f t="shared" si="56"/>
        <v>3.1143827859569689E-2</v>
      </c>
      <c r="S85" s="26">
        <f t="shared" si="56"/>
        <v>3.1143827859569685E-2</v>
      </c>
      <c r="T85" s="26">
        <f t="shared" si="56"/>
        <v>3.1143827859569685E-2</v>
      </c>
      <c r="U85" s="26">
        <f t="shared" si="56"/>
        <v>3.1143827859569692E-2</v>
      </c>
      <c r="V85" s="26">
        <f t="shared" si="56"/>
        <v>3.1143827859569692E-2</v>
      </c>
      <c r="W85" s="26">
        <f t="shared" si="56"/>
        <v>3.1143827859569689E-2</v>
      </c>
    </row>
    <row r="86" spans="1:23" x14ac:dyDescent="0.35">
      <c r="A86" s="2" t="s">
        <v>11</v>
      </c>
      <c r="B86" s="32">
        <f t="shared" si="53"/>
        <v>81062.770083805226</v>
      </c>
      <c r="C86" s="28">
        <f t="shared" si="55"/>
        <v>80956.036450283151</v>
      </c>
      <c r="D86" s="28">
        <f t="shared" si="55"/>
        <v>80849.302816761076</v>
      </c>
      <c r="E86" s="28">
        <f t="shared" si="55"/>
        <v>80742.569183239</v>
      </c>
      <c r="F86" s="28">
        <f t="shared" si="55"/>
        <v>80635.835549716925</v>
      </c>
      <c r="G86" s="28">
        <f t="shared" si="55"/>
        <v>80529.101916194821</v>
      </c>
      <c r="H86" s="28">
        <f t="shared" si="55"/>
        <v>80422.368282672731</v>
      </c>
      <c r="I86" s="28">
        <f t="shared" si="55"/>
        <v>80315.634649150627</v>
      </c>
      <c r="J86" s="28">
        <f t="shared" si="55"/>
        <v>80208.901015628537</v>
      </c>
      <c r="K86" s="28">
        <f t="shared" si="55"/>
        <v>80102.167382106447</v>
      </c>
      <c r="L86" s="28">
        <f t="shared" si="55"/>
        <v>79995.433748584386</v>
      </c>
      <c r="M86" s="26">
        <f t="shared" si="56"/>
        <v>0.4711211778029446</v>
      </c>
      <c r="N86" s="26">
        <f t="shared" si="56"/>
        <v>0.4711211778029446</v>
      </c>
      <c r="O86" s="26">
        <f t="shared" si="56"/>
        <v>0.4711211778029446</v>
      </c>
      <c r="P86" s="26">
        <f t="shared" si="56"/>
        <v>0.4711211778029446</v>
      </c>
      <c r="Q86" s="26">
        <f t="shared" si="56"/>
        <v>0.47112117780294466</v>
      </c>
      <c r="R86" s="26">
        <f t="shared" si="56"/>
        <v>0.47112117780294466</v>
      </c>
      <c r="S86" s="26">
        <f t="shared" si="56"/>
        <v>0.47112117780294466</v>
      </c>
      <c r="T86" s="26">
        <f t="shared" si="56"/>
        <v>0.47112117780294455</v>
      </c>
      <c r="U86" s="26">
        <f t="shared" si="56"/>
        <v>0.47112117780294455</v>
      </c>
      <c r="V86" s="26">
        <f t="shared" si="56"/>
        <v>0.4711211778029446</v>
      </c>
      <c r="W86" s="26">
        <f t="shared" si="56"/>
        <v>0.4711211778029446</v>
      </c>
    </row>
    <row r="87" spans="1:23" x14ac:dyDescent="0.35">
      <c r="A87" s="2" t="s">
        <v>9</v>
      </c>
      <c r="B87" s="32">
        <f t="shared" si="53"/>
        <v>60991.93999093998</v>
      </c>
      <c r="C87" s="28">
        <f t="shared" si="55"/>
        <v>60911.633194563998</v>
      </c>
      <c r="D87" s="28">
        <f t="shared" si="55"/>
        <v>60831.326398188008</v>
      </c>
      <c r="E87" s="28">
        <f t="shared" si="55"/>
        <v>60751.019601812026</v>
      </c>
      <c r="F87" s="28">
        <f t="shared" si="55"/>
        <v>60670.712805436036</v>
      </c>
      <c r="G87" s="28">
        <f t="shared" si="55"/>
        <v>60590.406009060032</v>
      </c>
      <c r="H87" s="28">
        <f t="shared" si="55"/>
        <v>60510.099212684036</v>
      </c>
      <c r="I87" s="28">
        <f t="shared" si="55"/>
        <v>60429.792416308039</v>
      </c>
      <c r="J87" s="28">
        <f t="shared" si="55"/>
        <v>60349.485619932042</v>
      </c>
      <c r="K87" s="28">
        <f t="shared" si="55"/>
        <v>60269.178823556045</v>
      </c>
      <c r="L87" s="28">
        <f t="shared" si="55"/>
        <v>60188.87202718007</v>
      </c>
      <c r="M87" s="26">
        <f t="shared" si="56"/>
        <v>0.35447338618346547</v>
      </c>
      <c r="N87" s="26">
        <f t="shared" si="56"/>
        <v>0.35447338618346547</v>
      </c>
      <c r="O87" s="26">
        <f t="shared" si="56"/>
        <v>0.35447338618346547</v>
      </c>
      <c r="P87" s="26">
        <f t="shared" si="56"/>
        <v>0.35447338618346547</v>
      </c>
      <c r="Q87" s="26">
        <f t="shared" si="56"/>
        <v>0.35447338618346547</v>
      </c>
      <c r="R87" s="26">
        <f t="shared" si="56"/>
        <v>0.35447338618346547</v>
      </c>
      <c r="S87" s="26">
        <f t="shared" si="56"/>
        <v>0.35447338618346547</v>
      </c>
      <c r="T87" s="26">
        <f t="shared" si="56"/>
        <v>0.35447338618346547</v>
      </c>
      <c r="U87" s="26">
        <f t="shared" si="56"/>
        <v>0.35447338618346547</v>
      </c>
      <c r="V87" s="26">
        <f t="shared" si="56"/>
        <v>0.35447338618346547</v>
      </c>
      <c r="W87" s="26">
        <f t="shared" si="56"/>
        <v>0.35447338618346547</v>
      </c>
    </row>
    <row r="88" spans="1:23" x14ac:dyDescent="0.35">
      <c r="A88" s="2" t="s">
        <v>10</v>
      </c>
      <c r="B88" s="32">
        <f t="shared" si="53"/>
        <v>21824.59194563987</v>
      </c>
      <c r="C88" s="28">
        <f t="shared" si="55"/>
        <v>21795.855967383923</v>
      </c>
      <c r="D88" s="28">
        <f t="shared" si="55"/>
        <v>21767.119989127979</v>
      </c>
      <c r="E88" s="28">
        <f t="shared" si="55"/>
        <v>21738.384010872036</v>
      </c>
      <c r="F88" s="28">
        <f t="shared" si="55"/>
        <v>21709.648032616093</v>
      </c>
      <c r="G88" s="28">
        <f t="shared" si="55"/>
        <v>21680.912054360142</v>
      </c>
      <c r="H88" s="28">
        <f t="shared" si="55"/>
        <v>21652.176076104195</v>
      </c>
      <c r="I88" s="28">
        <f t="shared" si="55"/>
        <v>21623.440097848244</v>
      </c>
      <c r="J88" s="28">
        <f t="shared" si="55"/>
        <v>21594.704119592298</v>
      </c>
      <c r="K88" s="28">
        <f t="shared" si="55"/>
        <v>21565.968141336351</v>
      </c>
      <c r="L88" s="28">
        <f t="shared" si="55"/>
        <v>21537.232163080411</v>
      </c>
      <c r="M88" s="26">
        <f t="shared" si="56"/>
        <v>0.12684031710079277</v>
      </c>
      <c r="N88" s="26">
        <f t="shared" si="56"/>
        <v>0.12684031710079277</v>
      </c>
      <c r="O88" s="26">
        <f t="shared" si="56"/>
        <v>0.12684031710079277</v>
      </c>
      <c r="P88" s="26">
        <f t="shared" si="56"/>
        <v>0.12684031710079277</v>
      </c>
      <c r="Q88" s="26">
        <f t="shared" si="56"/>
        <v>0.12684031710079277</v>
      </c>
      <c r="R88" s="26">
        <f t="shared" si="56"/>
        <v>0.12684031710079277</v>
      </c>
      <c r="S88" s="26">
        <f t="shared" si="56"/>
        <v>0.12684031710079277</v>
      </c>
      <c r="T88" s="26">
        <f t="shared" si="56"/>
        <v>0.12684031710079277</v>
      </c>
      <c r="U88" s="26">
        <f t="shared" si="56"/>
        <v>0.12684031710079277</v>
      </c>
      <c r="V88" s="26">
        <f t="shared" si="56"/>
        <v>0.12684031710079277</v>
      </c>
      <c r="W88" s="26">
        <f t="shared" si="56"/>
        <v>0.12684031710079277</v>
      </c>
    </row>
    <row r="89" spans="1:23" x14ac:dyDescent="0.35">
      <c r="A89" s="2"/>
      <c r="B89" s="15"/>
      <c r="C89" s="5"/>
      <c r="D89" s="5"/>
      <c r="E89" s="5"/>
      <c r="F89" s="5"/>
      <c r="G89" s="5"/>
      <c r="H89" s="5"/>
      <c r="I89" s="5"/>
      <c r="J89" s="5"/>
      <c r="K89" s="5"/>
      <c r="L89" s="5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3" x14ac:dyDescent="0.35">
      <c r="A90" s="105" t="s">
        <v>32</v>
      </c>
      <c r="B90" s="32">
        <f>B51*11630</f>
        <v>33322.276000000005</v>
      </c>
      <c r="C90" s="28">
        <f>B90+($G90-$B90)/5</f>
        <v>33130.148400000005</v>
      </c>
      <c r="D90" s="28">
        <f>C90+($G90-$B90)/5</f>
        <v>32938.020800000006</v>
      </c>
      <c r="E90" s="28">
        <f>D90+($G90-$B90)/5</f>
        <v>32745.893200000006</v>
      </c>
      <c r="F90" s="28">
        <f>E90+($G90-$B90)/5</f>
        <v>32553.765600000006</v>
      </c>
      <c r="G90" s="32">
        <f>G51*11630</f>
        <v>32361.63800000001</v>
      </c>
      <c r="H90" s="28">
        <f>G90+($L90-$G90)/5</f>
        <v>32169.51040000001</v>
      </c>
      <c r="I90" s="28">
        <f>H90+($L90-$G90)/5</f>
        <v>31977.38280000001</v>
      </c>
      <c r="J90" s="28">
        <f>I90+($L90-$G90)/5</f>
        <v>31785.255200000011</v>
      </c>
      <c r="K90" s="28">
        <f>J90+($L90-$G90)/5</f>
        <v>31593.127600000011</v>
      </c>
      <c r="L90" s="32">
        <f>L51*11630</f>
        <v>31401.000000000004</v>
      </c>
      <c r="M90" s="9">
        <v>1</v>
      </c>
      <c r="N90" s="9">
        <v>1</v>
      </c>
      <c r="O90" s="9">
        <v>0.99999999999999978</v>
      </c>
      <c r="P90" s="9">
        <v>0.99999999999999978</v>
      </c>
      <c r="Q90" s="9">
        <v>0.99999999999999978</v>
      </c>
      <c r="R90" s="9">
        <v>0.99999999999999978</v>
      </c>
      <c r="S90" s="9">
        <v>0.99999999999999967</v>
      </c>
      <c r="T90" s="9">
        <v>0.99999999999999956</v>
      </c>
      <c r="U90" s="9">
        <v>0.99999999999999967</v>
      </c>
      <c r="V90" s="9">
        <v>0.99999999999999956</v>
      </c>
      <c r="W90" s="9">
        <v>0.99999999999999989</v>
      </c>
    </row>
    <row r="91" spans="1:23" x14ac:dyDescent="0.35">
      <c r="A91" s="104" t="s">
        <v>29</v>
      </c>
      <c r="B91" s="32">
        <f>B52*11630</f>
        <v>6310.4380000000001</v>
      </c>
      <c r="C91" s="28">
        <f t="shared" ref="C91:L93" si="57">C$90*$M91</f>
        <v>6274.0536513472007</v>
      </c>
      <c r="D91" s="28">
        <f t="shared" si="57"/>
        <v>6237.6693026944013</v>
      </c>
      <c r="E91" s="28">
        <f t="shared" si="57"/>
        <v>6201.2849540416028</v>
      </c>
      <c r="F91" s="28">
        <f t="shared" si="57"/>
        <v>6164.9006053888033</v>
      </c>
      <c r="G91" s="28">
        <f t="shared" si="57"/>
        <v>6128.5162567360048</v>
      </c>
      <c r="H91" s="28">
        <f t="shared" si="57"/>
        <v>6092.1319080832063</v>
      </c>
      <c r="I91" s="28">
        <f t="shared" si="57"/>
        <v>6055.7475594304069</v>
      </c>
      <c r="J91" s="28">
        <f t="shared" si="57"/>
        <v>6019.3632107776075</v>
      </c>
      <c r="K91" s="28">
        <f t="shared" si="57"/>
        <v>5982.978862124809</v>
      </c>
      <c r="L91" s="28">
        <f t="shared" si="57"/>
        <v>5946.5945134720087</v>
      </c>
      <c r="M91" s="26">
        <f t="shared" ref="M91:W93" si="58">B91/B$90</f>
        <v>0.18937595979338262</v>
      </c>
      <c r="N91" s="26">
        <f t="shared" si="58"/>
        <v>0.18937595979338262</v>
      </c>
      <c r="O91" s="26">
        <f t="shared" si="58"/>
        <v>0.18937595979338262</v>
      </c>
      <c r="P91" s="26">
        <f t="shared" si="58"/>
        <v>0.18937595979338262</v>
      </c>
      <c r="Q91" s="26">
        <f t="shared" si="58"/>
        <v>0.18937595979338262</v>
      </c>
      <c r="R91" s="26">
        <f t="shared" si="58"/>
        <v>0.18937595979338262</v>
      </c>
      <c r="S91" s="26">
        <f t="shared" si="58"/>
        <v>0.18937595979338262</v>
      </c>
      <c r="T91" s="26">
        <f t="shared" si="58"/>
        <v>0.18937595979338262</v>
      </c>
      <c r="U91" s="26">
        <f t="shared" si="58"/>
        <v>0.18937595979338262</v>
      </c>
      <c r="V91" s="26">
        <f t="shared" si="58"/>
        <v>0.18937595979338262</v>
      </c>
      <c r="W91" s="26">
        <f t="shared" si="58"/>
        <v>0.18937595979338262</v>
      </c>
    </row>
    <row r="92" spans="1:23" x14ac:dyDescent="0.35">
      <c r="A92" s="103" t="s">
        <v>28</v>
      </c>
      <c r="B92" s="32">
        <f>B53*11630</f>
        <v>1580.5169999999998</v>
      </c>
      <c r="C92" s="28">
        <f t="shared" si="57"/>
        <v>1571.4041489459723</v>
      </c>
      <c r="D92" s="28">
        <f t="shared" si="57"/>
        <v>1562.2912978919446</v>
      </c>
      <c r="E92" s="28">
        <f t="shared" si="57"/>
        <v>1553.1784468379169</v>
      </c>
      <c r="F92" s="28">
        <f t="shared" si="57"/>
        <v>1544.0655957838894</v>
      </c>
      <c r="G92" s="28">
        <f t="shared" si="57"/>
        <v>1534.9527447298619</v>
      </c>
      <c r="H92" s="28">
        <f t="shared" si="57"/>
        <v>1525.8398936758342</v>
      </c>
      <c r="I92" s="28">
        <f t="shared" si="57"/>
        <v>1516.7270426218067</v>
      </c>
      <c r="J92" s="28">
        <f t="shared" si="57"/>
        <v>1507.614191567779</v>
      </c>
      <c r="K92" s="28">
        <f t="shared" si="57"/>
        <v>1498.5013405137513</v>
      </c>
      <c r="L92" s="28">
        <f t="shared" si="57"/>
        <v>1489.3884894597234</v>
      </c>
      <c r="M92" s="26">
        <f t="shared" si="58"/>
        <v>4.7431243892223918E-2</v>
      </c>
      <c r="N92" s="26">
        <f t="shared" si="58"/>
        <v>4.7431243892223918E-2</v>
      </c>
      <c r="O92" s="26">
        <f t="shared" si="58"/>
        <v>4.7431243892223918E-2</v>
      </c>
      <c r="P92" s="26">
        <f t="shared" si="58"/>
        <v>4.7431243892223918E-2</v>
      </c>
      <c r="Q92" s="26">
        <f t="shared" si="58"/>
        <v>4.7431243892223918E-2</v>
      </c>
      <c r="R92" s="26">
        <f t="shared" si="58"/>
        <v>4.7431243892223918E-2</v>
      </c>
      <c r="S92" s="26">
        <f t="shared" si="58"/>
        <v>4.7431243892223918E-2</v>
      </c>
      <c r="T92" s="26">
        <f t="shared" si="58"/>
        <v>4.7431243892223918E-2</v>
      </c>
      <c r="U92" s="26">
        <f t="shared" si="58"/>
        <v>4.7431243892223918E-2</v>
      </c>
      <c r="V92" s="26">
        <f t="shared" si="58"/>
        <v>4.7431243892223918E-2</v>
      </c>
      <c r="W92" s="26">
        <f t="shared" si="58"/>
        <v>4.7431243892223918E-2</v>
      </c>
    </row>
    <row r="93" spans="1:23" x14ac:dyDescent="0.35">
      <c r="A93" s="103" t="s">
        <v>30</v>
      </c>
      <c r="B93" s="106">
        <f>B54*11630</f>
        <v>25431.321</v>
      </c>
      <c r="C93" s="107">
        <f t="shared" si="57"/>
        <v>25284.690599706828</v>
      </c>
      <c r="D93" s="28">
        <f t="shared" si="57"/>
        <v>25138.060199413652</v>
      </c>
      <c r="E93" s="28">
        <f t="shared" si="57"/>
        <v>24991.42979912048</v>
      </c>
      <c r="F93" s="28">
        <f t="shared" si="57"/>
        <v>24844.799398827308</v>
      </c>
      <c r="G93" s="28">
        <f t="shared" si="57"/>
        <v>24698.168998534136</v>
      </c>
      <c r="H93" s="28">
        <f t="shared" si="57"/>
        <v>24551.538598240964</v>
      </c>
      <c r="I93" s="28">
        <f t="shared" si="57"/>
        <v>24404.908197947792</v>
      </c>
      <c r="J93" s="28">
        <f t="shared" si="57"/>
        <v>24258.277797654617</v>
      </c>
      <c r="K93" s="28">
        <f t="shared" si="57"/>
        <v>24111.647397361445</v>
      </c>
      <c r="L93" s="28">
        <f t="shared" si="57"/>
        <v>23965.016997068265</v>
      </c>
      <c r="M93" s="26">
        <f t="shared" si="58"/>
        <v>0.7631927963143933</v>
      </c>
      <c r="N93" s="26">
        <f t="shared" si="58"/>
        <v>0.7631927963143933</v>
      </c>
      <c r="O93" s="26">
        <f t="shared" si="58"/>
        <v>0.7631927963143933</v>
      </c>
      <c r="P93" s="26">
        <f t="shared" si="58"/>
        <v>0.7631927963143933</v>
      </c>
      <c r="Q93" s="26">
        <f t="shared" si="58"/>
        <v>0.7631927963143933</v>
      </c>
      <c r="R93" s="26">
        <f t="shared" si="58"/>
        <v>0.7631927963143933</v>
      </c>
      <c r="S93" s="26">
        <f t="shared" si="58"/>
        <v>0.7631927963143933</v>
      </c>
      <c r="T93" s="26">
        <f t="shared" si="58"/>
        <v>0.7631927963143933</v>
      </c>
      <c r="U93" s="26">
        <f t="shared" si="58"/>
        <v>0.7631927963143933</v>
      </c>
      <c r="V93" s="26">
        <f t="shared" si="58"/>
        <v>0.7631927963143933</v>
      </c>
      <c r="W93" s="26">
        <f t="shared" si="58"/>
        <v>0.7631927963143933</v>
      </c>
    </row>
    <row r="95" spans="1:23" x14ac:dyDescent="0.35">
      <c r="A95" s="102" t="s">
        <v>153</v>
      </c>
    </row>
    <row r="97" spans="1:23" x14ac:dyDescent="0.35">
      <c r="A97" s="29" t="s">
        <v>50</v>
      </c>
      <c r="B97" s="108" t="s">
        <v>16</v>
      </c>
      <c r="C97" s="108" t="s">
        <v>17</v>
      </c>
      <c r="D97" s="108" t="s">
        <v>18</v>
      </c>
      <c r="E97" s="108" t="s">
        <v>19</v>
      </c>
      <c r="F97" s="108" t="s">
        <v>20</v>
      </c>
      <c r="G97" s="108" t="s">
        <v>21</v>
      </c>
      <c r="H97" s="108" t="s">
        <v>22</v>
      </c>
      <c r="I97" s="108" t="s">
        <v>23</v>
      </c>
      <c r="J97" s="108" t="s">
        <v>24</v>
      </c>
      <c r="K97" s="108" t="s">
        <v>25</v>
      </c>
      <c r="L97" s="108" t="s">
        <v>26</v>
      </c>
      <c r="M97" s="109" t="s">
        <v>38</v>
      </c>
      <c r="N97" s="109" t="s">
        <v>40</v>
      </c>
      <c r="O97" s="109" t="s">
        <v>41</v>
      </c>
      <c r="P97" s="109" t="s">
        <v>42</v>
      </c>
      <c r="Q97" s="109" t="s">
        <v>43</v>
      </c>
      <c r="R97" s="109" t="s">
        <v>44</v>
      </c>
      <c r="S97" s="109" t="s">
        <v>45</v>
      </c>
      <c r="T97" s="109" t="s">
        <v>46</v>
      </c>
      <c r="U97" s="109" t="s">
        <v>47</v>
      </c>
      <c r="V97" s="109" t="s">
        <v>48</v>
      </c>
      <c r="W97" s="110" t="s">
        <v>39</v>
      </c>
    </row>
    <row r="98" spans="1:23" x14ac:dyDescent="0.35">
      <c r="A98" s="111" t="s">
        <v>4</v>
      </c>
      <c r="B98" s="114">
        <f>'Initial demand info'!F9</f>
        <v>356529.17533000006</v>
      </c>
      <c r="C98" s="115">
        <f>B98+($G98-$B98)/5</f>
        <v>354770.74026400002</v>
      </c>
      <c r="D98" s="115">
        <f t="shared" ref="D98:F98" si="59">C98+($G98-$B98)/5</f>
        <v>353012.30519799999</v>
      </c>
      <c r="E98" s="115">
        <f t="shared" si="59"/>
        <v>351253.87013199995</v>
      </c>
      <c r="F98" s="115">
        <f t="shared" si="59"/>
        <v>349495.43506599992</v>
      </c>
      <c r="G98" s="116">
        <f>G62</f>
        <v>347737</v>
      </c>
      <c r="H98" s="115">
        <f>G98+($L98-$G98)/5</f>
        <v>344945.8</v>
      </c>
      <c r="I98" s="115">
        <f t="shared" ref="I98" si="60">H98+($L98-$G98)/5</f>
        <v>342154.6</v>
      </c>
      <c r="J98" s="115">
        <f t="shared" ref="J98" si="61">I98+($L98-$G98)/5</f>
        <v>339363.39999999997</v>
      </c>
      <c r="K98" s="115">
        <f t="shared" ref="K98" si="62">J98+($L98-$G98)/5</f>
        <v>336572.19999999995</v>
      </c>
      <c r="L98" s="116">
        <f>L62</f>
        <v>333781</v>
      </c>
      <c r="M98" s="26">
        <f t="shared" ref="M98:W98" si="63">SUM(M99:M103)</f>
        <v>0.99999999999999989</v>
      </c>
      <c r="N98" s="26">
        <f t="shared" si="63"/>
        <v>0.99999999999999989</v>
      </c>
      <c r="O98" s="26">
        <f t="shared" si="63"/>
        <v>0.99999999999999989</v>
      </c>
      <c r="P98" s="26">
        <f t="shared" si="63"/>
        <v>0.99999999999999989</v>
      </c>
      <c r="Q98" s="26">
        <f t="shared" si="63"/>
        <v>0.99999999999999989</v>
      </c>
      <c r="R98" s="26">
        <f t="shared" si="63"/>
        <v>0.99999999999999989</v>
      </c>
      <c r="S98" s="26">
        <f t="shared" si="63"/>
        <v>0.99999999999999989</v>
      </c>
      <c r="T98" s="26">
        <f t="shared" si="63"/>
        <v>0.99999999999999989</v>
      </c>
      <c r="U98" s="26">
        <f t="shared" si="63"/>
        <v>0.99999999999999989</v>
      </c>
      <c r="V98" s="26">
        <f t="shared" si="63"/>
        <v>0.99999999999999989</v>
      </c>
      <c r="W98" s="26">
        <f t="shared" si="63"/>
        <v>0.99999999999999989</v>
      </c>
    </row>
    <row r="99" spans="1:23" x14ac:dyDescent="0.35">
      <c r="A99" s="112" t="s">
        <v>13</v>
      </c>
      <c r="B99" s="114">
        <f>'Initial demand info'!F10</f>
        <v>73144.942790000001</v>
      </c>
      <c r="C99" s="115">
        <f>C$98*$M99</f>
        <v>72784.185126385375</v>
      </c>
      <c r="D99" s="115">
        <f t="shared" ref="D99:L99" si="64">D$98*$M99</f>
        <v>72423.427462770735</v>
      </c>
      <c r="E99" s="115">
        <f t="shared" si="64"/>
        <v>72062.669799156109</v>
      </c>
      <c r="F99" s="115">
        <f t="shared" si="64"/>
        <v>71701.912135541483</v>
      </c>
      <c r="G99" s="115">
        <f t="shared" si="64"/>
        <v>71341.154471926871</v>
      </c>
      <c r="H99" s="115">
        <f t="shared" si="64"/>
        <v>70768.516442720764</v>
      </c>
      <c r="I99" s="115">
        <f t="shared" si="64"/>
        <v>70195.878413514656</v>
      </c>
      <c r="J99" s="115">
        <f t="shared" si="64"/>
        <v>69623.240384308549</v>
      </c>
      <c r="K99" s="115">
        <f t="shared" si="64"/>
        <v>69050.602355102455</v>
      </c>
      <c r="L99" s="115">
        <f t="shared" si="64"/>
        <v>68477.964325896362</v>
      </c>
      <c r="M99" s="117">
        <f>B99/B$98</f>
        <v>0.20515836529310044</v>
      </c>
      <c r="N99" s="117">
        <f t="shared" ref="N99:W103" si="65">C99/C$98</f>
        <v>0.20515836529310044</v>
      </c>
      <c r="O99" s="117">
        <f t="shared" si="65"/>
        <v>0.20515836529310041</v>
      </c>
      <c r="P99" s="117">
        <f t="shared" si="65"/>
        <v>0.20515836529310044</v>
      </c>
      <c r="Q99" s="117">
        <f t="shared" si="65"/>
        <v>0.20515836529310047</v>
      </c>
      <c r="R99" s="117">
        <f t="shared" si="65"/>
        <v>0.20515836529310044</v>
      </c>
      <c r="S99" s="117">
        <f t="shared" si="65"/>
        <v>0.20515836529310044</v>
      </c>
      <c r="T99" s="117">
        <f t="shared" si="65"/>
        <v>0.20515836529310044</v>
      </c>
      <c r="U99" s="117">
        <f t="shared" si="65"/>
        <v>0.20515836529310041</v>
      </c>
      <c r="V99" s="117">
        <f t="shared" si="65"/>
        <v>0.20515836529310044</v>
      </c>
      <c r="W99" s="117">
        <f t="shared" si="65"/>
        <v>0.20515836529310044</v>
      </c>
    </row>
    <row r="100" spans="1:23" x14ac:dyDescent="0.35">
      <c r="A100" s="112" t="s">
        <v>12</v>
      </c>
      <c r="B100" s="114">
        <f>'Initial demand info'!F11</f>
        <v>10113.692230000001</v>
      </c>
      <c r="C100" s="115">
        <f t="shared" ref="C100:C103" si="66">C$98*$M100</f>
        <v>10063.810558892712</v>
      </c>
      <c r="D100" s="115">
        <f t="shared" ref="D100:L103" si="67">D$98*$M100</f>
        <v>10013.928887785423</v>
      </c>
      <c r="E100" s="115">
        <f t="shared" si="67"/>
        <v>9964.0472166781328</v>
      </c>
      <c r="F100" s="115">
        <f t="shared" si="67"/>
        <v>9914.1655455708442</v>
      </c>
      <c r="G100" s="115">
        <f t="shared" si="67"/>
        <v>9864.2838744635592</v>
      </c>
      <c r="H100" s="115">
        <f t="shared" si="67"/>
        <v>9785.1056761401051</v>
      </c>
      <c r="I100" s="115">
        <f t="shared" si="67"/>
        <v>9705.9274778166509</v>
      </c>
      <c r="J100" s="115">
        <f t="shared" si="67"/>
        <v>9626.7492794931968</v>
      </c>
      <c r="K100" s="115">
        <f t="shared" si="67"/>
        <v>9547.5710811697445</v>
      </c>
      <c r="L100" s="115">
        <f t="shared" si="67"/>
        <v>9468.3928828462922</v>
      </c>
      <c r="M100" s="117">
        <f t="shared" ref="M100:M103" si="68">B100/B$98</f>
        <v>2.8367081657872353E-2</v>
      </c>
      <c r="N100" s="117">
        <f t="shared" si="65"/>
        <v>2.8367081657872353E-2</v>
      </c>
      <c r="O100" s="117">
        <f t="shared" si="65"/>
        <v>2.8367081657872356E-2</v>
      </c>
      <c r="P100" s="117">
        <f t="shared" si="65"/>
        <v>2.8367081657872353E-2</v>
      </c>
      <c r="Q100" s="117">
        <f t="shared" si="65"/>
        <v>2.8367081657872353E-2</v>
      </c>
      <c r="R100" s="117">
        <f t="shared" si="65"/>
        <v>2.8367081657872356E-2</v>
      </c>
      <c r="S100" s="117">
        <f t="shared" si="65"/>
        <v>2.8367081657872353E-2</v>
      </c>
      <c r="T100" s="117">
        <f t="shared" si="65"/>
        <v>2.8367081657872353E-2</v>
      </c>
      <c r="U100" s="117">
        <f t="shared" si="65"/>
        <v>2.8367081657872353E-2</v>
      </c>
      <c r="V100" s="117">
        <f t="shared" si="65"/>
        <v>2.8367081657872356E-2</v>
      </c>
      <c r="W100" s="117">
        <f t="shared" si="65"/>
        <v>2.8367081657872353E-2</v>
      </c>
    </row>
    <row r="101" spans="1:23" x14ac:dyDescent="0.35">
      <c r="A101" s="112" t="s">
        <v>11</v>
      </c>
      <c r="B101" s="114">
        <f>'Initial demand info'!F12</f>
        <v>66211.648509999999</v>
      </c>
      <c r="C101" s="115">
        <f t="shared" si="66"/>
        <v>65885.086498882985</v>
      </c>
      <c r="D101" s="115">
        <f t="shared" si="67"/>
        <v>65558.524487765986</v>
      </c>
      <c r="E101" s="115">
        <f t="shared" si="67"/>
        <v>65231.962476648972</v>
      </c>
      <c r="F101" s="115">
        <f t="shared" si="67"/>
        <v>64905.400465531966</v>
      </c>
      <c r="G101" s="115">
        <f t="shared" si="67"/>
        <v>64578.838454414981</v>
      </c>
      <c r="H101" s="115">
        <f t="shared" si="67"/>
        <v>64060.479884881213</v>
      </c>
      <c r="I101" s="115">
        <f t="shared" si="67"/>
        <v>63542.121315347445</v>
      </c>
      <c r="J101" s="115">
        <f t="shared" si="67"/>
        <v>63023.762745813678</v>
      </c>
      <c r="K101" s="115">
        <f t="shared" si="67"/>
        <v>62505.40417627991</v>
      </c>
      <c r="L101" s="115">
        <f t="shared" si="67"/>
        <v>61987.045606746149</v>
      </c>
      <c r="M101" s="117">
        <f t="shared" si="68"/>
        <v>0.18571172597225771</v>
      </c>
      <c r="N101" s="117">
        <f t="shared" si="65"/>
        <v>0.18571172597225771</v>
      </c>
      <c r="O101" s="117">
        <f t="shared" si="65"/>
        <v>0.18571172597225774</v>
      </c>
      <c r="P101" s="117">
        <f t="shared" si="65"/>
        <v>0.18571172597225771</v>
      </c>
      <c r="Q101" s="117">
        <f t="shared" si="65"/>
        <v>0.18571172597225771</v>
      </c>
      <c r="R101" s="117">
        <f t="shared" si="65"/>
        <v>0.18571172597225771</v>
      </c>
      <c r="S101" s="117">
        <f t="shared" si="65"/>
        <v>0.18571172597225771</v>
      </c>
      <c r="T101" s="117">
        <f t="shared" si="65"/>
        <v>0.18571172597225771</v>
      </c>
      <c r="U101" s="117">
        <f t="shared" si="65"/>
        <v>0.18571172597225771</v>
      </c>
      <c r="V101" s="117">
        <f t="shared" si="65"/>
        <v>0.18571172597225771</v>
      </c>
      <c r="W101" s="117">
        <f t="shared" si="65"/>
        <v>0.18571172597225771</v>
      </c>
    </row>
    <row r="102" spans="1:23" x14ac:dyDescent="0.35">
      <c r="A102" s="112" t="s">
        <v>9</v>
      </c>
      <c r="B102" s="114">
        <f>'Initial demand info'!F13</f>
        <v>185296.10311</v>
      </c>
      <c r="C102" s="115">
        <f t="shared" si="66"/>
        <v>184382.2054885776</v>
      </c>
      <c r="D102" s="115">
        <f t="shared" si="67"/>
        <v>183468.30786715518</v>
      </c>
      <c r="E102" s="115">
        <f t="shared" si="67"/>
        <v>182554.41024573275</v>
      </c>
      <c r="F102" s="115">
        <f t="shared" si="67"/>
        <v>181640.51262431036</v>
      </c>
      <c r="G102" s="115">
        <f t="shared" si="67"/>
        <v>180726.61500288799</v>
      </c>
      <c r="H102" s="115">
        <f t="shared" si="67"/>
        <v>179275.96658814908</v>
      </c>
      <c r="I102" s="115">
        <f t="shared" si="67"/>
        <v>177825.31817341017</v>
      </c>
      <c r="J102" s="115">
        <f t="shared" si="67"/>
        <v>176374.66975867128</v>
      </c>
      <c r="K102" s="115">
        <f t="shared" si="67"/>
        <v>174924.02134393237</v>
      </c>
      <c r="L102" s="115">
        <f t="shared" si="67"/>
        <v>173473.37292919349</v>
      </c>
      <c r="M102" s="117">
        <f t="shared" si="68"/>
        <v>0.51972213196435235</v>
      </c>
      <c r="N102" s="117">
        <f>C102/C$98</f>
        <v>0.51972213196435235</v>
      </c>
      <c r="O102" s="117">
        <f t="shared" si="65"/>
        <v>0.51972213196435235</v>
      </c>
      <c r="P102" s="117">
        <f t="shared" si="65"/>
        <v>0.51972213196435235</v>
      </c>
      <c r="Q102" s="117">
        <f t="shared" si="65"/>
        <v>0.51972213196435235</v>
      </c>
      <c r="R102" s="117">
        <f t="shared" si="65"/>
        <v>0.51972213196435235</v>
      </c>
      <c r="S102" s="117">
        <f t="shared" si="65"/>
        <v>0.51972213196435235</v>
      </c>
      <c r="T102" s="117">
        <f t="shared" si="65"/>
        <v>0.51972213196435235</v>
      </c>
      <c r="U102" s="117">
        <f t="shared" si="65"/>
        <v>0.51972213196435235</v>
      </c>
      <c r="V102" s="117">
        <f t="shared" si="65"/>
        <v>0.51972213196435235</v>
      </c>
      <c r="W102" s="117">
        <f t="shared" si="65"/>
        <v>0.51972213196435235</v>
      </c>
    </row>
    <row r="103" spans="1:23" x14ac:dyDescent="0.35">
      <c r="A103" s="112" t="s">
        <v>10</v>
      </c>
      <c r="B103" s="114">
        <f>'Initial demand info'!F14</f>
        <v>21762.788690000001</v>
      </c>
      <c r="C103" s="115">
        <f t="shared" si="66"/>
        <v>21655.45259126131</v>
      </c>
      <c r="D103" s="115">
        <f t="shared" si="67"/>
        <v>21548.116492522622</v>
      </c>
      <c r="E103" s="115">
        <f t="shared" si="67"/>
        <v>21440.780393783931</v>
      </c>
      <c r="F103" s="115">
        <f t="shared" si="67"/>
        <v>21333.444295045239</v>
      </c>
      <c r="G103" s="115">
        <f t="shared" si="67"/>
        <v>21226.108196306555</v>
      </c>
      <c r="H103" s="115">
        <f t="shared" si="67"/>
        <v>21055.731408108775</v>
      </c>
      <c r="I103" s="115">
        <f t="shared" si="67"/>
        <v>20885.354619910995</v>
      </c>
      <c r="J103" s="115">
        <f t="shared" si="67"/>
        <v>20714.977831713219</v>
      </c>
      <c r="K103" s="115">
        <f t="shared" si="67"/>
        <v>20544.601043515439</v>
      </c>
      <c r="L103" s="115">
        <f t="shared" si="67"/>
        <v>20374.224255317662</v>
      </c>
      <c r="M103" s="117">
        <f t="shared" si="68"/>
        <v>6.1040695112417012E-2</v>
      </c>
      <c r="N103" s="117">
        <f t="shared" si="65"/>
        <v>6.1040695112417005E-2</v>
      </c>
      <c r="O103" s="117">
        <f t="shared" si="65"/>
        <v>6.1040695112417019E-2</v>
      </c>
      <c r="P103" s="117">
        <f t="shared" si="65"/>
        <v>6.1040695112417019E-2</v>
      </c>
      <c r="Q103" s="117">
        <f t="shared" si="65"/>
        <v>6.1040695112417012E-2</v>
      </c>
      <c r="R103" s="117">
        <f t="shared" si="65"/>
        <v>6.1040695112417012E-2</v>
      </c>
      <c r="S103" s="117">
        <f t="shared" si="65"/>
        <v>6.1040695112417012E-2</v>
      </c>
      <c r="T103" s="117">
        <f t="shared" si="65"/>
        <v>6.1040695112417005E-2</v>
      </c>
      <c r="U103" s="117">
        <f t="shared" si="65"/>
        <v>6.1040695112417019E-2</v>
      </c>
      <c r="V103" s="117">
        <f t="shared" si="65"/>
        <v>6.1040695112417012E-2</v>
      </c>
      <c r="W103" s="117">
        <f t="shared" si="65"/>
        <v>6.1040695112417012E-2</v>
      </c>
    </row>
    <row r="104" spans="1:23" x14ac:dyDescent="0.35">
      <c r="A104" s="112"/>
      <c r="B104" s="114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</row>
    <row r="105" spans="1:23" x14ac:dyDescent="0.35">
      <c r="A105" s="111" t="s">
        <v>5</v>
      </c>
      <c r="B105" s="114">
        <f>'Initial demand info'!F16</f>
        <v>272762.75125000003</v>
      </c>
      <c r="C105" s="115">
        <f t="shared" ref="C105:F126" si="69">B105+($G105-$B105)/5</f>
        <v>277058.00100000005</v>
      </c>
      <c r="D105" s="115">
        <f t="shared" si="69"/>
        <v>281353.25075000006</v>
      </c>
      <c r="E105" s="115">
        <f t="shared" si="69"/>
        <v>285648.50050000008</v>
      </c>
      <c r="F105" s="115">
        <f t="shared" si="69"/>
        <v>289943.7502500001</v>
      </c>
      <c r="G105" s="116">
        <f>G69</f>
        <v>294239</v>
      </c>
      <c r="H105" s="115">
        <f>G105+($L105-$G105)/5</f>
        <v>292843.40000000002</v>
      </c>
      <c r="I105" s="115">
        <f>H105+($L105-$G105)/5</f>
        <v>291447.80000000005</v>
      </c>
      <c r="J105" s="115">
        <f>I105+($L105-$G105)/5</f>
        <v>290052.20000000007</v>
      </c>
      <c r="K105" s="115">
        <f>J105+($L105-$G105)/5</f>
        <v>288656.60000000009</v>
      </c>
      <c r="L105" s="116">
        <f>L69</f>
        <v>287261</v>
      </c>
      <c r="M105" s="26">
        <f>SUM(M106:M111)</f>
        <v>1</v>
      </c>
      <c r="N105" s="26">
        <f t="shared" ref="N105:W105" si="70">SUM(N106:N111)</f>
        <v>1</v>
      </c>
      <c r="O105" s="26">
        <f t="shared" si="70"/>
        <v>1</v>
      </c>
      <c r="P105" s="26">
        <f t="shared" si="70"/>
        <v>1</v>
      </c>
      <c r="Q105" s="26">
        <f t="shared" si="70"/>
        <v>1</v>
      </c>
      <c r="R105" s="26">
        <f t="shared" si="70"/>
        <v>1</v>
      </c>
      <c r="S105" s="26">
        <f t="shared" si="70"/>
        <v>1</v>
      </c>
      <c r="T105" s="26">
        <f t="shared" si="70"/>
        <v>1</v>
      </c>
      <c r="U105" s="26">
        <f t="shared" si="70"/>
        <v>1</v>
      </c>
      <c r="V105" s="26">
        <f t="shared" si="70"/>
        <v>1</v>
      </c>
      <c r="W105" s="26">
        <f t="shared" si="70"/>
        <v>1</v>
      </c>
    </row>
    <row r="106" spans="1:23" x14ac:dyDescent="0.35">
      <c r="A106" s="112" t="s">
        <v>13</v>
      </c>
      <c r="B106" s="114">
        <f>'Initial demand info'!F17</f>
        <v>5060.1781099999998</v>
      </c>
      <c r="C106" s="115">
        <f>C$105*$M106</f>
        <v>5139.8617495817552</v>
      </c>
      <c r="D106" s="115">
        <f t="shared" ref="D106:L106" si="71">D$105*$M106</f>
        <v>5219.5453891635116</v>
      </c>
      <c r="E106" s="115">
        <f t="shared" si="71"/>
        <v>5299.229028745267</v>
      </c>
      <c r="F106" s="115">
        <f t="shared" si="71"/>
        <v>5378.9126683270224</v>
      </c>
      <c r="G106" s="115">
        <f t="shared" si="71"/>
        <v>5458.596307908776</v>
      </c>
      <c r="H106" s="115">
        <f t="shared" si="71"/>
        <v>5432.7057325352962</v>
      </c>
      <c r="I106" s="115">
        <f t="shared" si="71"/>
        <v>5406.8151571618164</v>
      </c>
      <c r="J106" s="115">
        <f t="shared" si="71"/>
        <v>5380.9245817883357</v>
      </c>
      <c r="K106" s="115">
        <f t="shared" si="71"/>
        <v>5355.0340064148559</v>
      </c>
      <c r="L106" s="115">
        <f t="shared" si="71"/>
        <v>5329.1434310413742</v>
      </c>
      <c r="M106" s="117">
        <f>B106/B$105</f>
        <v>1.8551573067842046E-2</v>
      </c>
      <c r="N106" s="117">
        <f t="shared" ref="N106:W106" si="72">C106/C$105</f>
        <v>1.8551573067842046E-2</v>
      </c>
      <c r="O106" s="117">
        <f t="shared" si="72"/>
        <v>1.8551573067842046E-2</v>
      </c>
      <c r="P106" s="117">
        <f t="shared" si="72"/>
        <v>1.8551573067842046E-2</v>
      </c>
      <c r="Q106" s="117">
        <f t="shared" si="72"/>
        <v>1.8551573067842046E-2</v>
      </c>
      <c r="R106" s="117">
        <f t="shared" si="72"/>
        <v>1.8551573067842046E-2</v>
      </c>
      <c r="S106" s="117">
        <f t="shared" si="72"/>
        <v>1.8551573067842046E-2</v>
      </c>
      <c r="T106" s="117">
        <f t="shared" si="72"/>
        <v>1.8551573067842046E-2</v>
      </c>
      <c r="U106" s="117">
        <f t="shared" si="72"/>
        <v>1.8551573067842046E-2</v>
      </c>
      <c r="V106" s="117">
        <f t="shared" si="72"/>
        <v>1.8551573067842046E-2</v>
      </c>
      <c r="W106" s="117">
        <f t="shared" si="72"/>
        <v>1.8551573067842046E-2</v>
      </c>
    </row>
    <row r="107" spans="1:23" x14ac:dyDescent="0.35">
      <c r="A107" s="112" t="s">
        <v>12</v>
      </c>
      <c r="B107" s="114">
        <f>'Initial demand info'!F18</f>
        <v>31253.426930000005</v>
      </c>
      <c r="C107" s="115">
        <f t="shared" ref="C107:L111" si="73">C$105*$M107</f>
        <v>31745.580912142119</v>
      </c>
      <c r="D107" s="115">
        <f t="shared" si="73"/>
        <v>32237.734894284233</v>
      </c>
      <c r="E107" s="115">
        <f t="shared" si="73"/>
        <v>32729.888876426347</v>
      </c>
      <c r="F107" s="115">
        <f t="shared" si="73"/>
        <v>33222.042858568457</v>
      </c>
      <c r="G107" s="115">
        <f t="shared" si="73"/>
        <v>33714.19684071056</v>
      </c>
      <c r="H107" s="115">
        <f t="shared" si="73"/>
        <v>33554.28760668348</v>
      </c>
      <c r="I107" s="115">
        <f t="shared" si="73"/>
        <v>33394.378372656392</v>
      </c>
      <c r="J107" s="115">
        <f t="shared" si="73"/>
        <v>33234.469138629313</v>
      </c>
      <c r="K107" s="115">
        <f t="shared" si="73"/>
        <v>33074.559904602225</v>
      </c>
      <c r="L107" s="115">
        <f t="shared" si="73"/>
        <v>32914.650670575131</v>
      </c>
      <c r="M107" s="117">
        <f t="shared" ref="M107:M111" si="74">B107/B$105</f>
        <v>0.11458099314064607</v>
      </c>
      <c r="N107" s="117">
        <f t="shared" ref="N107:N111" si="75">C107/C$105</f>
        <v>0.11458099314064607</v>
      </c>
      <c r="O107" s="117">
        <f t="shared" ref="O107:O111" si="76">D107/D$105</f>
        <v>0.11458099314064607</v>
      </c>
      <c r="P107" s="117">
        <f t="shared" ref="P107:P111" si="77">E107/E$105</f>
        <v>0.11458099314064607</v>
      </c>
      <c r="Q107" s="117">
        <f t="shared" ref="Q107:Q111" si="78">F107/F$105</f>
        <v>0.11458099314064607</v>
      </c>
      <c r="R107" s="117">
        <f t="shared" ref="R107:R111" si="79">G107/G$105</f>
        <v>0.11458099314064607</v>
      </c>
      <c r="S107" s="117">
        <f t="shared" ref="S107:S111" si="80">H107/H$105</f>
        <v>0.11458099314064608</v>
      </c>
      <c r="T107" s="117">
        <f t="shared" ref="T107:T111" si="81">I107/I$105</f>
        <v>0.11458099314064607</v>
      </c>
      <c r="U107" s="117">
        <f t="shared" ref="U107:U111" si="82">J107/J$105</f>
        <v>0.11458099314064608</v>
      </c>
      <c r="V107" s="117">
        <f t="shared" ref="V107:V111" si="83">K107/K$105</f>
        <v>0.11458099314064607</v>
      </c>
      <c r="W107" s="117">
        <f t="shared" ref="W107:W111" si="84">L107/L$105</f>
        <v>0.11458099314064607</v>
      </c>
    </row>
    <row r="108" spans="1:23" x14ac:dyDescent="0.35">
      <c r="A108" s="112" t="s">
        <v>11</v>
      </c>
      <c r="B108" s="114">
        <f>'Initial demand info'!F19</f>
        <v>117304.54125000001</v>
      </c>
      <c r="C108" s="115">
        <f t="shared" si="73"/>
        <v>119151.75938799322</v>
      </c>
      <c r="D108" s="115">
        <f t="shared" si="73"/>
        <v>120998.97752598643</v>
      </c>
      <c r="E108" s="115">
        <f t="shared" si="73"/>
        <v>122846.19566397963</v>
      </c>
      <c r="F108" s="115">
        <f t="shared" si="73"/>
        <v>124693.41380197284</v>
      </c>
      <c r="G108" s="115">
        <f t="shared" si="73"/>
        <v>126540.631939966</v>
      </c>
      <c r="H108" s="115">
        <f t="shared" si="73"/>
        <v>125940.43921930213</v>
      </c>
      <c r="I108" s="115">
        <f t="shared" si="73"/>
        <v>125340.24649863827</v>
      </c>
      <c r="J108" s="115">
        <f t="shared" si="73"/>
        <v>124740.05377797442</v>
      </c>
      <c r="K108" s="115">
        <f t="shared" si="73"/>
        <v>124139.86105731055</v>
      </c>
      <c r="L108" s="115">
        <f t="shared" si="73"/>
        <v>123539.66833664665</v>
      </c>
      <c r="M108" s="117">
        <f t="shared" si="74"/>
        <v>0.43006070554877496</v>
      </c>
      <c r="N108" s="117">
        <f t="shared" si="75"/>
        <v>0.43006070554877496</v>
      </c>
      <c r="O108" s="117">
        <f t="shared" si="76"/>
        <v>0.43006070554877496</v>
      </c>
      <c r="P108" s="117">
        <f t="shared" si="77"/>
        <v>0.43006070554877496</v>
      </c>
      <c r="Q108" s="117">
        <f t="shared" si="78"/>
        <v>0.43006070554877496</v>
      </c>
      <c r="R108" s="117">
        <f t="shared" si="79"/>
        <v>0.43006070554877496</v>
      </c>
      <c r="S108" s="117">
        <f t="shared" si="80"/>
        <v>0.43006070554877496</v>
      </c>
      <c r="T108" s="117">
        <f t="shared" si="81"/>
        <v>0.43006070554877496</v>
      </c>
      <c r="U108" s="117">
        <f t="shared" si="82"/>
        <v>0.43006070554877496</v>
      </c>
      <c r="V108" s="117">
        <f t="shared" si="83"/>
        <v>0.43006070554877496</v>
      </c>
      <c r="W108" s="117">
        <f t="shared" si="84"/>
        <v>0.43006070554877496</v>
      </c>
    </row>
    <row r="109" spans="1:23" x14ac:dyDescent="0.35">
      <c r="A109" s="112" t="s">
        <v>9</v>
      </c>
      <c r="B109" s="114">
        <f>'Initial demand info'!F20</f>
        <v>93985.972570000013</v>
      </c>
      <c r="C109" s="115">
        <f t="shared" si="73"/>
        <v>95465.988530151386</v>
      </c>
      <c r="D109" s="115">
        <f t="shared" si="73"/>
        <v>96946.004490302774</v>
      </c>
      <c r="E109" s="115">
        <f t="shared" si="73"/>
        <v>98426.020450454147</v>
      </c>
      <c r="F109" s="115">
        <f t="shared" si="73"/>
        <v>99906.036410605535</v>
      </c>
      <c r="G109" s="115">
        <f t="shared" si="73"/>
        <v>101386.05237075686</v>
      </c>
      <c r="H109" s="115">
        <f t="shared" si="73"/>
        <v>100905.1699089193</v>
      </c>
      <c r="I109" s="115">
        <f t="shared" si="73"/>
        <v>100424.28744708172</v>
      </c>
      <c r="J109" s="115">
        <f t="shared" si="73"/>
        <v>99943.404985244153</v>
      </c>
      <c r="K109" s="115">
        <f t="shared" si="73"/>
        <v>99462.522523406573</v>
      </c>
      <c r="L109" s="115">
        <f t="shared" si="73"/>
        <v>98981.640061568964</v>
      </c>
      <c r="M109" s="117">
        <f t="shared" si="74"/>
        <v>0.3445704083101046</v>
      </c>
      <c r="N109" s="117">
        <f t="shared" si="75"/>
        <v>0.3445704083101046</v>
      </c>
      <c r="O109" s="117">
        <f t="shared" si="76"/>
        <v>0.3445704083101046</v>
      </c>
      <c r="P109" s="117">
        <f t="shared" si="77"/>
        <v>0.3445704083101046</v>
      </c>
      <c r="Q109" s="117">
        <f t="shared" si="78"/>
        <v>0.3445704083101046</v>
      </c>
      <c r="R109" s="117">
        <f t="shared" si="79"/>
        <v>0.3445704083101046</v>
      </c>
      <c r="S109" s="117">
        <f t="shared" si="80"/>
        <v>0.3445704083101046</v>
      </c>
      <c r="T109" s="117">
        <f t="shared" si="81"/>
        <v>0.3445704083101046</v>
      </c>
      <c r="U109" s="117">
        <f t="shared" si="82"/>
        <v>0.3445704083101046</v>
      </c>
      <c r="V109" s="117">
        <f t="shared" si="83"/>
        <v>0.3445704083101046</v>
      </c>
      <c r="W109" s="117">
        <f t="shared" si="84"/>
        <v>0.3445704083101046</v>
      </c>
    </row>
    <row r="110" spans="1:23" x14ac:dyDescent="0.35">
      <c r="A110" s="112" t="s">
        <v>10</v>
      </c>
      <c r="B110" s="114">
        <f>'Initial demand info'!F21</f>
        <v>20397.752330000003</v>
      </c>
      <c r="C110" s="115">
        <f t="shared" si="73"/>
        <v>20718.959826971215</v>
      </c>
      <c r="D110" s="115">
        <f t="shared" si="73"/>
        <v>21040.167323942431</v>
      </c>
      <c r="E110" s="115">
        <f t="shared" si="73"/>
        <v>21361.374820913647</v>
      </c>
      <c r="F110" s="115">
        <f t="shared" si="73"/>
        <v>21682.582317884862</v>
      </c>
      <c r="G110" s="115">
        <f t="shared" si="73"/>
        <v>22003.789814856071</v>
      </c>
      <c r="H110" s="115">
        <f t="shared" si="73"/>
        <v>21899.424013362684</v>
      </c>
      <c r="I110" s="115">
        <f t="shared" si="73"/>
        <v>21795.058211869295</v>
      </c>
      <c r="J110" s="115">
        <f t="shared" si="73"/>
        <v>21690.692410375908</v>
      </c>
      <c r="K110" s="115">
        <f t="shared" si="73"/>
        <v>21586.326608882522</v>
      </c>
      <c r="L110" s="115">
        <f t="shared" si="73"/>
        <v>21481.960807389129</v>
      </c>
      <c r="M110" s="117">
        <f t="shared" si="74"/>
        <v>7.4782030304806874E-2</v>
      </c>
      <c r="N110" s="117">
        <f t="shared" si="75"/>
        <v>7.4782030304806874E-2</v>
      </c>
      <c r="O110" s="117">
        <f t="shared" si="76"/>
        <v>7.4782030304806874E-2</v>
      </c>
      <c r="P110" s="117">
        <f t="shared" si="77"/>
        <v>7.4782030304806874E-2</v>
      </c>
      <c r="Q110" s="117">
        <f t="shared" si="78"/>
        <v>7.4782030304806874E-2</v>
      </c>
      <c r="R110" s="117">
        <f t="shared" si="79"/>
        <v>7.4782030304806874E-2</v>
      </c>
      <c r="S110" s="117">
        <f t="shared" si="80"/>
        <v>7.4782030304806874E-2</v>
      </c>
      <c r="T110" s="117">
        <f t="shared" si="81"/>
        <v>7.4782030304806874E-2</v>
      </c>
      <c r="U110" s="117">
        <f t="shared" si="82"/>
        <v>7.4782030304806874E-2</v>
      </c>
      <c r="V110" s="117">
        <f t="shared" si="83"/>
        <v>7.4782030304806874E-2</v>
      </c>
      <c r="W110" s="117">
        <f t="shared" si="84"/>
        <v>7.4782030304806874E-2</v>
      </c>
    </row>
    <row r="111" spans="1:23" x14ac:dyDescent="0.35">
      <c r="A111" s="112" t="s">
        <v>14</v>
      </c>
      <c r="B111" s="114">
        <f>'Initial demand info'!F22</f>
        <v>4760.8800600000004</v>
      </c>
      <c r="C111" s="115">
        <f t="shared" si="73"/>
        <v>4835.8505931603449</v>
      </c>
      <c r="D111" s="115">
        <f t="shared" si="73"/>
        <v>4910.8211263206904</v>
      </c>
      <c r="E111" s="115">
        <f t="shared" si="73"/>
        <v>4985.7916594810349</v>
      </c>
      <c r="F111" s="115">
        <f t="shared" si="73"/>
        <v>5060.7621926413804</v>
      </c>
      <c r="G111" s="115">
        <f t="shared" si="73"/>
        <v>5135.7327258017231</v>
      </c>
      <c r="H111" s="115">
        <f t="shared" si="73"/>
        <v>5111.37351919713</v>
      </c>
      <c r="I111" s="115">
        <f t="shared" si="73"/>
        <v>5087.0143125925379</v>
      </c>
      <c r="J111" s="115">
        <f t="shared" si="73"/>
        <v>5062.6551059879448</v>
      </c>
      <c r="K111" s="115">
        <f t="shared" si="73"/>
        <v>5038.2958993833518</v>
      </c>
      <c r="L111" s="115">
        <f t="shared" si="73"/>
        <v>5013.9366927787578</v>
      </c>
      <c r="M111" s="117">
        <f t="shared" si="74"/>
        <v>1.7454289627825418E-2</v>
      </c>
      <c r="N111" s="117">
        <f t="shared" si="75"/>
        <v>1.7454289627825418E-2</v>
      </c>
      <c r="O111" s="117">
        <f t="shared" si="76"/>
        <v>1.7454289627825418E-2</v>
      </c>
      <c r="P111" s="117">
        <f t="shared" si="77"/>
        <v>1.7454289627825418E-2</v>
      </c>
      <c r="Q111" s="117">
        <f t="shared" si="78"/>
        <v>1.7454289627825418E-2</v>
      </c>
      <c r="R111" s="117">
        <f t="shared" si="79"/>
        <v>1.7454289627825418E-2</v>
      </c>
      <c r="S111" s="117">
        <f t="shared" si="80"/>
        <v>1.7454289627825418E-2</v>
      </c>
      <c r="T111" s="117">
        <f t="shared" si="81"/>
        <v>1.7454289627825418E-2</v>
      </c>
      <c r="U111" s="117">
        <f t="shared" si="82"/>
        <v>1.7454289627825418E-2</v>
      </c>
      <c r="V111" s="117">
        <f t="shared" si="83"/>
        <v>1.7454289627825418E-2</v>
      </c>
      <c r="W111" s="117">
        <f t="shared" si="84"/>
        <v>1.7454289627825418E-2</v>
      </c>
    </row>
    <row r="112" spans="1:23" x14ac:dyDescent="0.35">
      <c r="A112" s="113"/>
      <c r="B112" s="114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</row>
    <row r="113" spans="1:23" x14ac:dyDescent="0.35">
      <c r="A113" s="111" t="s">
        <v>6</v>
      </c>
      <c r="B113" s="114">
        <f>'Initial demand info'!F24</f>
        <v>336996.20653999998</v>
      </c>
      <c r="C113" s="115">
        <f t="shared" si="69"/>
        <v>354030.76523199998</v>
      </c>
      <c r="D113" s="115">
        <f t="shared" ref="D113:F113" si="85">C113+($G113-$B113)/5</f>
        <v>371065.32392399997</v>
      </c>
      <c r="E113" s="115">
        <f t="shared" si="85"/>
        <v>388099.88261599996</v>
      </c>
      <c r="F113" s="115">
        <f t="shared" si="85"/>
        <v>405134.44130799995</v>
      </c>
      <c r="G113" s="116">
        <f>G77</f>
        <v>422168.99999999994</v>
      </c>
      <c r="H113" s="115">
        <f>G113+($L113-$G113)/5</f>
        <v>418912.6</v>
      </c>
      <c r="I113" s="115">
        <f>H113+($L113-$G113)/5</f>
        <v>415656.2</v>
      </c>
      <c r="J113" s="115">
        <f>I113+($L113-$G113)/5</f>
        <v>412399.80000000005</v>
      </c>
      <c r="K113" s="115">
        <f>J113+($L113-$G113)/5</f>
        <v>409143.40000000008</v>
      </c>
      <c r="L113" s="116">
        <f>L77</f>
        <v>405887</v>
      </c>
      <c r="M113" s="26">
        <f>SUM(M114:M117)</f>
        <v>1</v>
      </c>
      <c r="N113" s="26">
        <f t="shared" ref="N113:W113" si="86">SUM(N114:N117)</f>
        <v>1</v>
      </c>
      <c r="O113" s="26">
        <f t="shared" si="86"/>
        <v>1</v>
      </c>
      <c r="P113" s="26">
        <f t="shared" si="86"/>
        <v>1</v>
      </c>
      <c r="Q113" s="26">
        <f t="shared" si="86"/>
        <v>1</v>
      </c>
      <c r="R113" s="26">
        <f t="shared" si="86"/>
        <v>1</v>
      </c>
      <c r="S113" s="26">
        <f t="shared" si="86"/>
        <v>1</v>
      </c>
      <c r="T113" s="26">
        <f t="shared" si="86"/>
        <v>1</v>
      </c>
      <c r="U113" s="26">
        <f t="shared" si="86"/>
        <v>1</v>
      </c>
      <c r="V113" s="26">
        <f t="shared" si="86"/>
        <v>1</v>
      </c>
      <c r="W113" s="26">
        <f t="shared" si="86"/>
        <v>1.0000000000000002</v>
      </c>
    </row>
    <row r="114" spans="1:23" x14ac:dyDescent="0.35">
      <c r="A114" s="112" t="s">
        <v>11</v>
      </c>
      <c r="B114" s="114">
        <f>'Initial demand info'!F25</f>
        <v>10114.180690000001</v>
      </c>
      <c r="C114" s="115">
        <f>C$113*$M114</f>
        <v>10625.434529781274</v>
      </c>
      <c r="D114" s="115">
        <f t="shared" ref="D114:L114" si="87">D$113*$M114</f>
        <v>11136.688369562547</v>
      </c>
      <c r="E114" s="115">
        <f t="shared" si="87"/>
        <v>11647.942209343821</v>
      </c>
      <c r="F114" s="115">
        <f t="shared" si="87"/>
        <v>12159.196049125094</v>
      </c>
      <c r="G114" s="115">
        <f t="shared" si="87"/>
        <v>12670.449888906367</v>
      </c>
      <c r="H114" s="115">
        <f t="shared" si="87"/>
        <v>12572.716391140699</v>
      </c>
      <c r="I114" s="115">
        <f t="shared" si="87"/>
        <v>12474.98289337503</v>
      </c>
      <c r="J114" s="115">
        <f t="shared" si="87"/>
        <v>12377.249395609364</v>
      </c>
      <c r="K114" s="115">
        <f t="shared" si="87"/>
        <v>12279.515897843696</v>
      </c>
      <c r="L114" s="115">
        <f t="shared" si="87"/>
        <v>12181.782400078024</v>
      </c>
      <c r="M114" s="117">
        <f>B114/B$113</f>
        <v>3.001274344849188E-2</v>
      </c>
      <c r="N114" s="117">
        <f t="shared" ref="N114:W117" si="88">C114/C$113</f>
        <v>3.001274344849188E-2</v>
      </c>
      <c r="O114" s="117">
        <f t="shared" si="88"/>
        <v>3.001274344849188E-2</v>
      </c>
      <c r="P114" s="117">
        <f t="shared" si="88"/>
        <v>3.001274344849188E-2</v>
      </c>
      <c r="Q114" s="117">
        <f t="shared" si="88"/>
        <v>3.001274344849188E-2</v>
      </c>
      <c r="R114" s="117">
        <f t="shared" si="88"/>
        <v>3.001274344849188E-2</v>
      </c>
      <c r="S114" s="117">
        <f t="shared" si="88"/>
        <v>3.001274344849188E-2</v>
      </c>
      <c r="T114" s="117">
        <f t="shared" si="88"/>
        <v>3.001274344849188E-2</v>
      </c>
      <c r="U114" s="117">
        <f t="shared" si="88"/>
        <v>3.0012743448491884E-2</v>
      </c>
      <c r="V114" s="117">
        <f t="shared" si="88"/>
        <v>3.001274344849188E-2</v>
      </c>
      <c r="W114" s="117">
        <f t="shared" si="88"/>
        <v>3.001274344849188E-2</v>
      </c>
    </row>
    <row r="115" spans="1:23" x14ac:dyDescent="0.35">
      <c r="A115" s="112" t="s">
        <v>15</v>
      </c>
      <c r="B115" s="114">
        <f>'Initial demand info'!F26</f>
        <v>11248.163840000001</v>
      </c>
      <c r="C115" s="115">
        <f t="shared" ref="C115:L117" si="89">C$113*$M115</f>
        <v>11816.738510548908</v>
      </c>
      <c r="D115" s="115">
        <f t="shared" si="89"/>
        <v>12385.313181097816</v>
      </c>
      <c r="E115" s="115">
        <f t="shared" si="89"/>
        <v>12953.887851646725</v>
      </c>
      <c r="F115" s="115">
        <f t="shared" si="89"/>
        <v>13522.462522195632</v>
      </c>
      <c r="G115" s="115">
        <f t="shared" si="89"/>
        <v>14091.037192744539</v>
      </c>
      <c r="H115" s="115">
        <f t="shared" si="89"/>
        <v>13982.345996767446</v>
      </c>
      <c r="I115" s="115">
        <f t="shared" si="89"/>
        <v>13873.654800790355</v>
      </c>
      <c r="J115" s="115">
        <f t="shared" si="89"/>
        <v>13764.963604813263</v>
      </c>
      <c r="K115" s="115">
        <f t="shared" si="89"/>
        <v>13656.272408836172</v>
      </c>
      <c r="L115" s="115">
        <f t="shared" si="89"/>
        <v>13547.581212859077</v>
      </c>
      <c r="M115" s="117">
        <f t="shared" ref="M115:M117" si="90">B115/B$113</f>
        <v>3.3377716489710378E-2</v>
      </c>
      <c r="N115" s="117">
        <f t="shared" si="88"/>
        <v>3.3377716489710378E-2</v>
      </c>
      <c r="O115" s="117">
        <f t="shared" si="88"/>
        <v>3.3377716489710378E-2</v>
      </c>
      <c r="P115" s="117">
        <f t="shared" si="88"/>
        <v>3.3377716489710378E-2</v>
      </c>
      <c r="Q115" s="117">
        <f t="shared" si="88"/>
        <v>3.3377716489710378E-2</v>
      </c>
      <c r="R115" s="117">
        <f t="shared" si="88"/>
        <v>3.3377716489710378E-2</v>
      </c>
      <c r="S115" s="117">
        <f t="shared" si="88"/>
        <v>3.3377716489710378E-2</v>
      </c>
      <c r="T115" s="117">
        <f t="shared" si="88"/>
        <v>3.3377716489710378E-2</v>
      </c>
      <c r="U115" s="117">
        <f t="shared" si="88"/>
        <v>3.3377716489710378E-2</v>
      </c>
      <c r="V115" s="117">
        <f t="shared" si="88"/>
        <v>3.3377716489710378E-2</v>
      </c>
      <c r="W115" s="117">
        <f t="shared" si="88"/>
        <v>3.3377716489710378E-2</v>
      </c>
    </row>
    <row r="116" spans="1:23" x14ac:dyDescent="0.35">
      <c r="A116" s="112" t="s">
        <v>83</v>
      </c>
      <c r="B116" s="114">
        <f>'Initial demand info'!F27</f>
        <v>14708.902940000002</v>
      </c>
      <c r="C116" s="115">
        <f t="shared" si="89"/>
        <v>15452.411815066882</v>
      </c>
      <c r="D116" s="115">
        <f t="shared" si="89"/>
        <v>16195.920690133762</v>
      </c>
      <c r="E116" s="115">
        <f t="shared" si="89"/>
        <v>16939.42956520064</v>
      </c>
      <c r="F116" s="115">
        <f t="shared" si="89"/>
        <v>17682.93844026752</v>
      </c>
      <c r="G116" s="115">
        <f t="shared" si="89"/>
        <v>18426.447315334401</v>
      </c>
      <c r="H116" s="115">
        <f t="shared" si="89"/>
        <v>18284.314939348355</v>
      </c>
      <c r="I116" s="115">
        <f t="shared" si="89"/>
        <v>18142.182563362305</v>
      </c>
      <c r="J116" s="115">
        <f t="shared" si="89"/>
        <v>18000.050187376255</v>
      </c>
      <c r="K116" s="115">
        <f t="shared" si="89"/>
        <v>17857.917811390205</v>
      </c>
      <c r="L116" s="115">
        <f t="shared" si="89"/>
        <v>17715.785435404152</v>
      </c>
      <c r="M116" s="117">
        <f t="shared" si="90"/>
        <v>4.3647087577094491E-2</v>
      </c>
      <c r="N116" s="117">
        <f t="shared" si="88"/>
        <v>4.3647087577094491E-2</v>
      </c>
      <c r="O116" s="117">
        <f t="shared" si="88"/>
        <v>4.3647087577094491E-2</v>
      </c>
      <c r="P116" s="117">
        <f t="shared" si="88"/>
        <v>4.3647087577094484E-2</v>
      </c>
      <c r="Q116" s="117">
        <f t="shared" si="88"/>
        <v>4.3647087577094484E-2</v>
      </c>
      <c r="R116" s="117">
        <f t="shared" si="88"/>
        <v>4.3647087577094491E-2</v>
      </c>
      <c r="S116" s="117">
        <f t="shared" si="88"/>
        <v>4.3647087577094498E-2</v>
      </c>
      <c r="T116" s="117">
        <f t="shared" si="88"/>
        <v>4.3647087577094491E-2</v>
      </c>
      <c r="U116" s="117">
        <f t="shared" si="88"/>
        <v>4.3647087577094491E-2</v>
      </c>
      <c r="V116" s="117">
        <f t="shared" si="88"/>
        <v>4.3647087577094491E-2</v>
      </c>
      <c r="W116" s="117">
        <f t="shared" si="88"/>
        <v>4.3647087577094491E-2</v>
      </c>
    </row>
    <row r="117" spans="1:23" x14ac:dyDescent="0.35">
      <c r="A117" s="112" t="s">
        <v>80</v>
      </c>
      <c r="B117" s="114">
        <f>'Initial demand info'!F28</f>
        <v>300924.95906999998</v>
      </c>
      <c r="C117" s="115">
        <f t="shared" si="89"/>
        <v>316136.18037660292</v>
      </c>
      <c r="D117" s="115">
        <f t="shared" si="89"/>
        <v>331347.40168320586</v>
      </c>
      <c r="E117" s="115">
        <f t="shared" si="89"/>
        <v>346558.62298980879</v>
      </c>
      <c r="F117" s="115">
        <f t="shared" si="89"/>
        <v>361769.84429641173</v>
      </c>
      <c r="G117" s="115">
        <f t="shared" si="89"/>
        <v>376981.06560301466</v>
      </c>
      <c r="H117" s="115">
        <f t="shared" si="89"/>
        <v>374073.22267274349</v>
      </c>
      <c r="I117" s="115">
        <f t="shared" si="89"/>
        <v>371165.37974247232</v>
      </c>
      <c r="J117" s="115">
        <f t="shared" si="89"/>
        <v>368257.5368122012</v>
      </c>
      <c r="K117" s="115">
        <f t="shared" si="89"/>
        <v>365349.69388193003</v>
      </c>
      <c r="L117" s="115">
        <f t="shared" si="89"/>
        <v>362441.85095165879</v>
      </c>
      <c r="M117" s="117">
        <f t="shared" si="90"/>
        <v>0.8929624524847033</v>
      </c>
      <c r="N117" s="117">
        <f t="shared" si="88"/>
        <v>0.8929624524847033</v>
      </c>
      <c r="O117" s="117">
        <f t="shared" si="88"/>
        <v>0.8929624524847033</v>
      </c>
      <c r="P117" s="117">
        <f t="shared" si="88"/>
        <v>0.8929624524847033</v>
      </c>
      <c r="Q117" s="117">
        <f t="shared" si="88"/>
        <v>0.8929624524847033</v>
      </c>
      <c r="R117" s="117">
        <f t="shared" si="88"/>
        <v>0.8929624524847033</v>
      </c>
      <c r="S117" s="117">
        <f t="shared" si="88"/>
        <v>0.8929624524847033</v>
      </c>
      <c r="T117" s="117">
        <f t="shared" si="88"/>
        <v>0.89296245248470318</v>
      </c>
      <c r="U117" s="117">
        <f t="shared" si="88"/>
        <v>0.8929624524847033</v>
      </c>
      <c r="V117" s="117">
        <f t="shared" si="88"/>
        <v>0.8929624524847033</v>
      </c>
      <c r="W117" s="117">
        <f t="shared" si="88"/>
        <v>0.89296245248470341</v>
      </c>
    </row>
    <row r="118" spans="1:23" x14ac:dyDescent="0.35">
      <c r="A118" s="112"/>
      <c r="B118" s="114"/>
      <c r="C118" s="115"/>
      <c r="D118" s="115"/>
      <c r="E118" s="115"/>
      <c r="F118" s="115"/>
      <c r="G118" s="115"/>
      <c r="H118" s="117"/>
      <c r="I118" s="117"/>
      <c r="J118" s="117"/>
      <c r="K118" s="117"/>
      <c r="L118" s="115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</row>
    <row r="119" spans="1:23" x14ac:dyDescent="0.35">
      <c r="A119" s="112" t="s">
        <v>31</v>
      </c>
      <c r="B119" s="114">
        <f>'Initial demand info'!F30</f>
        <v>192564.53910000002</v>
      </c>
      <c r="C119" s="115">
        <f t="shared" si="69"/>
        <v>188237.78368000002</v>
      </c>
      <c r="D119" s="115">
        <f t="shared" ref="D119:F119" si="91">C119+($G119-$B119)/5</f>
        <v>183911.02826000002</v>
      </c>
      <c r="E119" s="115">
        <f t="shared" si="91"/>
        <v>179584.27284000002</v>
      </c>
      <c r="F119" s="115">
        <f t="shared" si="91"/>
        <v>175257.51742000002</v>
      </c>
      <c r="G119" s="116">
        <f>G83</f>
        <v>170930.76200000002</v>
      </c>
      <c r="H119" s="117">
        <f>G119+($L119-$G119)/5</f>
        <v>170704.2096</v>
      </c>
      <c r="I119" s="117">
        <f>H119+($L119-$G119)/5</f>
        <v>170477.65719999999</v>
      </c>
      <c r="J119" s="117">
        <f>I119+($L119-$G119)/5</f>
        <v>170251.10479999997</v>
      </c>
      <c r="K119" s="117">
        <f>J119+($L119-$G119)/5</f>
        <v>170024.55239999996</v>
      </c>
      <c r="L119" s="116">
        <f>L83</f>
        <v>169798</v>
      </c>
      <c r="M119" s="26">
        <f>SUM(M120:M124)</f>
        <v>1</v>
      </c>
      <c r="N119" s="117">
        <f t="shared" ref="N119:W119" si="92">N83</f>
        <v>1</v>
      </c>
      <c r="O119" s="117">
        <f t="shared" si="92"/>
        <v>1</v>
      </c>
      <c r="P119" s="117">
        <f t="shared" si="92"/>
        <v>1</v>
      </c>
      <c r="Q119" s="117">
        <f t="shared" si="92"/>
        <v>1.0000000000000002</v>
      </c>
      <c r="R119" s="117">
        <f t="shared" si="92"/>
        <v>1.0000000000000002</v>
      </c>
      <c r="S119" s="117">
        <f t="shared" si="92"/>
        <v>1.0000000000000002</v>
      </c>
      <c r="T119" s="117">
        <f t="shared" si="92"/>
        <v>1</v>
      </c>
      <c r="U119" s="117">
        <f t="shared" si="92"/>
        <v>1</v>
      </c>
      <c r="V119" s="117">
        <f t="shared" si="92"/>
        <v>1</v>
      </c>
      <c r="W119" s="117">
        <f t="shared" si="92"/>
        <v>1</v>
      </c>
    </row>
    <row r="120" spans="1:23" x14ac:dyDescent="0.35">
      <c r="A120" s="112" t="s">
        <v>13</v>
      </c>
      <c r="B120" s="114">
        <f>'Initial demand info'!F31</f>
        <v>30117.036370000005</v>
      </c>
      <c r="C120" s="115">
        <f>C$119*$M120</f>
        <v>29440.333115302812</v>
      </c>
      <c r="D120" s="115">
        <f t="shared" ref="D120:L120" si="93">D$119*$M120</f>
        <v>28763.629860605623</v>
      </c>
      <c r="E120" s="115">
        <f t="shared" si="93"/>
        <v>28086.926605908429</v>
      </c>
      <c r="F120" s="115">
        <f t="shared" si="93"/>
        <v>27410.223351211236</v>
      </c>
      <c r="G120" s="115">
        <f t="shared" si="93"/>
        <v>26733.520096514047</v>
      </c>
      <c r="H120" s="115">
        <f t="shared" si="93"/>
        <v>26698.087368856082</v>
      </c>
      <c r="I120" s="115">
        <f t="shared" si="93"/>
        <v>26662.654641198122</v>
      </c>
      <c r="J120" s="115">
        <f t="shared" si="93"/>
        <v>26627.221913540161</v>
      </c>
      <c r="K120" s="115">
        <f t="shared" si="93"/>
        <v>26591.789185882197</v>
      </c>
      <c r="L120" s="115">
        <f t="shared" si="93"/>
        <v>26556.356458224247</v>
      </c>
      <c r="M120" s="117">
        <f>B120/B$119</f>
        <v>0.15639970116387852</v>
      </c>
      <c r="N120" s="117">
        <f t="shared" ref="N120:W124" si="94">C120/C$119</f>
        <v>0.15639970116387852</v>
      </c>
      <c r="O120" s="117">
        <f t="shared" si="94"/>
        <v>0.15639970116387852</v>
      </c>
      <c r="P120" s="117">
        <f t="shared" si="94"/>
        <v>0.15639970116387852</v>
      </c>
      <c r="Q120" s="117">
        <f t="shared" si="94"/>
        <v>0.15639970116387852</v>
      </c>
      <c r="R120" s="117">
        <f t="shared" si="94"/>
        <v>0.15639970116387852</v>
      </c>
      <c r="S120" s="117">
        <f t="shared" si="94"/>
        <v>0.15639970116387852</v>
      </c>
      <c r="T120" s="117">
        <f t="shared" si="94"/>
        <v>0.15639970116387852</v>
      </c>
      <c r="U120" s="117">
        <f t="shared" si="94"/>
        <v>0.15639970116387852</v>
      </c>
      <c r="V120" s="117">
        <f t="shared" si="94"/>
        <v>0.15639970116387852</v>
      </c>
      <c r="W120" s="117">
        <f t="shared" si="94"/>
        <v>0.15639970116387852</v>
      </c>
    </row>
    <row r="121" spans="1:23" x14ac:dyDescent="0.35">
      <c r="A121" s="112" t="s">
        <v>12</v>
      </c>
      <c r="B121" s="114">
        <f>'Initial demand info'!F32</f>
        <v>3405.97343</v>
      </c>
      <c r="C121" s="115">
        <f t="shared" ref="C121:L124" si="95">C$119*$M121</f>
        <v>3329.4442098875911</v>
      </c>
      <c r="D121" s="115">
        <f t="shared" si="95"/>
        <v>3252.9149897751818</v>
      </c>
      <c r="E121" s="115">
        <f t="shared" si="95"/>
        <v>3176.3857696627729</v>
      </c>
      <c r="F121" s="115">
        <f t="shared" si="95"/>
        <v>3099.856549550364</v>
      </c>
      <c r="G121" s="115">
        <f t="shared" si="95"/>
        <v>3023.3273294379551</v>
      </c>
      <c r="H121" s="115">
        <f t="shared" si="95"/>
        <v>3019.3201978107654</v>
      </c>
      <c r="I121" s="115">
        <f t="shared" si="95"/>
        <v>3015.3130661835758</v>
      </c>
      <c r="J121" s="115">
        <f t="shared" si="95"/>
        <v>3011.3059345563865</v>
      </c>
      <c r="K121" s="115">
        <f t="shared" si="95"/>
        <v>3007.2988029291969</v>
      </c>
      <c r="L121" s="115">
        <f t="shared" si="95"/>
        <v>3003.2916713020081</v>
      </c>
      <c r="M121" s="117">
        <f t="shared" ref="M121:M124" si="96">B121/B$119</f>
        <v>1.7687438434504578E-2</v>
      </c>
      <c r="N121" s="117">
        <f t="shared" si="94"/>
        <v>1.7687438434504578E-2</v>
      </c>
      <c r="O121" s="117">
        <f t="shared" si="94"/>
        <v>1.7687438434504578E-2</v>
      </c>
      <c r="P121" s="117">
        <f t="shared" si="94"/>
        <v>1.7687438434504578E-2</v>
      </c>
      <c r="Q121" s="117">
        <f t="shared" si="94"/>
        <v>1.7687438434504578E-2</v>
      </c>
      <c r="R121" s="117">
        <f t="shared" si="94"/>
        <v>1.7687438434504578E-2</v>
      </c>
      <c r="S121" s="117">
        <f t="shared" si="94"/>
        <v>1.7687438434504578E-2</v>
      </c>
      <c r="T121" s="117">
        <f t="shared" si="94"/>
        <v>1.7687438434504578E-2</v>
      </c>
      <c r="U121" s="117">
        <f t="shared" si="94"/>
        <v>1.7687438434504578E-2</v>
      </c>
      <c r="V121" s="117">
        <f t="shared" ref="V121:V124" si="97">K121/K$119</f>
        <v>1.7687438434504578E-2</v>
      </c>
      <c r="W121" s="117">
        <f t="shared" ref="W121:W124" si="98">L121/L$119</f>
        <v>1.7687438434504578E-2</v>
      </c>
    </row>
    <row r="122" spans="1:23" x14ac:dyDescent="0.35">
      <c r="A122" s="112" t="s">
        <v>11</v>
      </c>
      <c r="B122" s="114">
        <f>'Initial demand info'!F33</f>
        <v>75259.253530000002</v>
      </c>
      <c r="C122" s="115">
        <f t="shared" si="95"/>
        <v>73568.244455130931</v>
      </c>
      <c r="D122" s="115">
        <f t="shared" si="95"/>
        <v>71877.235380261845</v>
      </c>
      <c r="E122" s="115">
        <f t="shared" si="95"/>
        <v>70186.22630539276</v>
      </c>
      <c r="F122" s="115">
        <f t="shared" si="95"/>
        <v>68495.217230523689</v>
      </c>
      <c r="G122" s="115">
        <f t="shared" si="95"/>
        <v>66804.208155654604</v>
      </c>
      <c r="H122" s="115">
        <f t="shared" si="95"/>
        <v>66715.665557992965</v>
      </c>
      <c r="I122" s="115">
        <f t="shared" si="95"/>
        <v>66627.122960331326</v>
      </c>
      <c r="J122" s="115">
        <f t="shared" si="95"/>
        <v>66538.580362669672</v>
      </c>
      <c r="K122" s="115">
        <f t="shared" si="95"/>
        <v>66450.037765008034</v>
      </c>
      <c r="L122" s="115">
        <f t="shared" si="95"/>
        <v>66361.495167346409</v>
      </c>
      <c r="M122" s="117">
        <f t="shared" si="96"/>
        <v>0.39082612967965707</v>
      </c>
      <c r="N122" s="117">
        <f t="shared" si="94"/>
        <v>0.39082612967965713</v>
      </c>
      <c r="O122" s="117">
        <f t="shared" si="94"/>
        <v>0.39082612967965707</v>
      </c>
      <c r="P122" s="117">
        <f t="shared" si="94"/>
        <v>0.39082612967965702</v>
      </c>
      <c r="Q122" s="117">
        <f t="shared" si="94"/>
        <v>0.39082612967965707</v>
      </c>
      <c r="R122" s="117">
        <f t="shared" si="94"/>
        <v>0.39082612967965707</v>
      </c>
      <c r="S122" s="117">
        <f t="shared" si="94"/>
        <v>0.39082612967965707</v>
      </c>
      <c r="T122" s="117">
        <f t="shared" si="94"/>
        <v>0.39082612967965713</v>
      </c>
      <c r="U122" s="117">
        <f t="shared" si="94"/>
        <v>0.39082612967965707</v>
      </c>
      <c r="V122" s="117">
        <f t="shared" si="97"/>
        <v>0.39082612967965707</v>
      </c>
      <c r="W122" s="117">
        <f t="shared" si="98"/>
        <v>0.39082612967965707</v>
      </c>
    </row>
    <row r="123" spans="1:23" x14ac:dyDescent="0.35">
      <c r="A123" s="112" t="s">
        <v>9</v>
      </c>
      <c r="B123" s="114">
        <f>'Initial demand info'!F34</f>
        <v>77807.363270000002</v>
      </c>
      <c r="C123" s="115">
        <f t="shared" si="95"/>
        <v>76059.100415801513</v>
      </c>
      <c r="D123" s="115">
        <f t="shared" si="95"/>
        <v>74310.837561603024</v>
      </c>
      <c r="E123" s="115">
        <f t="shared" si="95"/>
        <v>72562.57470740455</v>
      </c>
      <c r="F123" s="115">
        <f t="shared" si="95"/>
        <v>70814.311853206062</v>
      </c>
      <c r="G123" s="115">
        <f t="shared" si="95"/>
        <v>69066.048999007588</v>
      </c>
      <c r="H123" s="115">
        <f t="shared" si="95"/>
        <v>68974.508547328995</v>
      </c>
      <c r="I123" s="115">
        <f t="shared" si="95"/>
        <v>68882.968095650416</v>
      </c>
      <c r="J123" s="115">
        <f t="shared" si="95"/>
        <v>68791.427643971838</v>
      </c>
      <c r="K123" s="115">
        <f t="shared" si="95"/>
        <v>68699.887192293259</v>
      </c>
      <c r="L123" s="115">
        <f t="shared" si="95"/>
        <v>68608.34674061471</v>
      </c>
      <c r="M123" s="117">
        <f t="shared" si="96"/>
        <v>0.40405862696035705</v>
      </c>
      <c r="N123" s="117">
        <f>C123/C$119</f>
        <v>0.40405862696035705</v>
      </c>
      <c r="O123" s="117">
        <f t="shared" si="94"/>
        <v>0.40405862696035699</v>
      </c>
      <c r="P123" s="117">
        <f t="shared" si="94"/>
        <v>0.40405862696035705</v>
      </c>
      <c r="Q123" s="117">
        <f t="shared" si="94"/>
        <v>0.40405862696035705</v>
      </c>
      <c r="R123" s="117">
        <f t="shared" si="94"/>
        <v>0.4040586269603571</v>
      </c>
      <c r="S123" s="117">
        <f t="shared" si="94"/>
        <v>0.40405862696035699</v>
      </c>
      <c r="T123" s="117">
        <f t="shared" si="94"/>
        <v>0.40405862696035699</v>
      </c>
      <c r="U123" s="117">
        <f t="shared" si="94"/>
        <v>0.40405862696035705</v>
      </c>
      <c r="V123" s="117">
        <f t="shared" si="97"/>
        <v>0.40405862696035705</v>
      </c>
      <c r="W123" s="117">
        <f t="shared" si="98"/>
        <v>0.40405862696035705</v>
      </c>
    </row>
    <row r="124" spans="1:23" x14ac:dyDescent="0.35">
      <c r="A124" s="112" t="s">
        <v>10</v>
      </c>
      <c r="B124" s="114">
        <f>'Initial demand info'!F35</f>
        <v>5974.9125000000004</v>
      </c>
      <c r="C124" s="115">
        <f t="shared" si="95"/>
        <v>5840.6614838771629</v>
      </c>
      <c r="D124" s="115">
        <f t="shared" si="95"/>
        <v>5706.4104677543264</v>
      </c>
      <c r="E124" s="115">
        <f t="shared" si="95"/>
        <v>5572.159451631489</v>
      </c>
      <c r="F124" s="115">
        <f t="shared" si="95"/>
        <v>5437.9084355086525</v>
      </c>
      <c r="G124" s="115">
        <f t="shared" si="95"/>
        <v>5303.657419385816</v>
      </c>
      <c r="H124" s="115">
        <f t="shared" si="95"/>
        <v>5296.6279280111748</v>
      </c>
      <c r="I124" s="115">
        <f t="shared" si="95"/>
        <v>5289.5984366365346</v>
      </c>
      <c r="J124" s="115">
        <f t="shared" si="95"/>
        <v>5282.5689452618935</v>
      </c>
      <c r="K124" s="115">
        <f t="shared" si="95"/>
        <v>5275.5394538872533</v>
      </c>
      <c r="L124" s="115">
        <f t="shared" si="95"/>
        <v>5268.509962512614</v>
      </c>
      <c r="M124" s="117">
        <f t="shared" si="96"/>
        <v>3.1028103761602695E-2</v>
      </c>
      <c r="N124" s="117">
        <f t="shared" si="94"/>
        <v>3.1028103761602695E-2</v>
      </c>
      <c r="O124" s="117">
        <f t="shared" si="94"/>
        <v>3.1028103761602695E-2</v>
      </c>
      <c r="P124" s="117">
        <f t="shared" si="94"/>
        <v>3.1028103761602692E-2</v>
      </c>
      <c r="Q124" s="117">
        <f t="shared" si="94"/>
        <v>3.1028103761602695E-2</v>
      </c>
      <c r="R124" s="117">
        <f t="shared" si="94"/>
        <v>3.1028103761602699E-2</v>
      </c>
      <c r="S124" s="117">
        <f t="shared" si="94"/>
        <v>3.1028103761602695E-2</v>
      </c>
      <c r="T124" s="117">
        <f t="shared" si="94"/>
        <v>3.1028103761602695E-2</v>
      </c>
      <c r="U124" s="117">
        <f t="shared" si="94"/>
        <v>3.1028103761602692E-2</v>
      </c>
      <c r="V124" s="117">
        <f t="shared" si="97"/>
        <v>3.1028103761602695E-2</v>
      </c>
      <c r="W124" s="117">
        <f t="shared" si="98"/>
        <v>3.1028103761602692E-2</v>
      </c>
    </row>
    <row r="125" spans="1:23" x14ac:dyDescent="0.35">
      <c r="A125" s="112"/>
      <c r="B125" s="114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</row>
    <row r="126" spans="1:23" x14ac:dyDescent="0.35">
      <c r="A126" s="112" t="s">
        <v>32</v>
      </c>
      <c r="B126" s="114">
        <f>'Initial demand info'!F37</f>
        <v>33322.601640000001</v>
      </c>
      <c r="C126" s="115">
        <f t="shared" si="69"/>
        <v>33130.408911999999</v>
      </c>
      <c r="D126" s="115">
        <f t="shared" ref="D126:F126" si="99">C126+($G126-$B126)/5</f>
        <v>32938.216184000004</v>
      </c>
      <c r="E126" s="115">
        <f t="shared" si="99"/>
        <v>32746.023456000006</v>
      </c>
      <c r="F126" s="115">
        <f t="shared" si="99"/>
        <v>32553.830728000008</v>
      </c>
      <c r="G126" s="116">
        <f t="shared" ref="G126:W126" si="100">G90</f>
        <v>32361.63800000001</v>
      </c>
      <c r="H126" s="117">
        <f>G126+($L126-$G126)/5</f>
        <v>32169.51040000001</v>
      </c>
      <c r="I126" s="117">
        <f t="shared" ref="I126:K126" si="101">H126+($L126-$G126)/5</f>
        <v>31977.38280000001</v>
      </c>
      <c r="J126" s="117">
        <f t="shared" si="101"/>
        <v>31785.255200000011</v>
      </c>
      <c r="K126" s="117">
        <f t="shared" si="101"/>
        <v>31593.127600000011</v>
      </c>
      <c r="L126" s="116">
        <f t="shared" si="100"/>
        <v>31401.000000000004</v>
      </c>
      <c r="M126" s="117">
        <f t="shared" si="100"/>
        <v>1</v>
      </c>
      <c r="N126" s="117">
        <f t="shared" si="100"/>
        <v>1</v>
      </c>
      <c r="O126" s="117">
        <f t="shared" si="100"/>
        <v>0.99999999999999978</v>
      </c>
      <c r="P126" s="117">
        <f t="shared" si="100"/>
        <v>0.99999999999999978</v>
      </c>
      <c r="Q126" s="117">
        <f t="shared" si="100"/>
        <v>0.99999999999999978</v>
      </c>
      <c r="R126" s="117">
        <f t="shared" si="100"/>
        <v>0.99999999999999978</v>
      </c>
      <c r="S126" s="117">
        <f t="shared" si="100"/>
        <v>0.99999999999999967</v>
      </c>
      <c r="T126" s="117">
        <f t="shared" si="100"/>
        <v>0.99999999999999956</v>
      </c>
      <c r="U126" s="117">
        <f t="shared" si="100"/>
        <v>0.99999999999999967</v>
      </c>
      <c r="V126" s="117">
        <f t="shared" si="100"/>
        <v>0.99999999999999956</v>
      </c>
      <c r="W126" s="117">
        <f t="shared" si="100"/>
        <v>0.99999999999999989</v>
      </c>
    </row>
    <row r="127" spans="1:23" x14ac:dyDescent="0.35">
      <c r="A127" s="112" t="s">
        <v>29</v>
      </c>
      <c r="B127" s="114">
        <f>'Initial demand info'!F38</f>
        <v>6310.5426700000007</v>
      </c>
      <c r="C127" s="115">
        <f>C$126*$M127</f>
        <v>6274.1457396519263</v>
      </c>
      <c r="D127" s="115">
        <f>D$126*$M127</f>
        <v>6237.7488093038528</v>
      </c>
      <c r="E127" s="115">
        <f t="shared" ref="E127:L127" si="102">E$126*$M127</f>
        <v>6201.3518789557793</v>
      </c>
      <c r="F127" s="115">
        <f t="shared" si="102"/>
        <v>6164.9549486077049</v>
      </c>
      <c r="G127" s="115">
        <f t="shared" si="102"/>
        <v>6128.5580182596314</v>
      </c>
      <c r="H127" s="115">
        <f t="shared" si="102"/>
        <v>6092.173421673112</v>
      </c>
      <c r="I127" s="115">
        <f t="shared" si="102"/>
        <v>6055.7888250865926</v>
      </c>
      <c r="J127" s="115">
        <f t="shared" si="102"/>
        <v>6019.4042285000733</v>
      </c>
      <c r="K127" s="115">
        <f t="shared" si="102"/>
        <v>5983.0196319135539</v>
      </c>
      <c r="L127" s="115">
        <f t="shared" si="102"/>
        <v>5946.6350353270327</v>
      </c>
      <c r="M127" s="117">
        <f>B127/B$126</f>
        <v>0.18937725025722213</v>
      </c>
      <c r="N127" s="117">
        <f>C127/C$126</f>
        <v>0.18937725025722213</v>
      </c>
      <c r="O127" s="117">
        <f t="shared" ref="O127:W129" si="103">D127/D$126</f>
        <v>0.18937725025722213</v>
      </c>
      <c r="P127" s="117">
        <f t="shared" si="103"/>
        <v>0.18937725025722213</v>
      </c>
      <c r="Q127" s="117">
        <f t="shared" si="103"/>
        <v>0.18937725025722213</v>
      </c>
      <c r="R127" s="117">
        <f t="shared" si="103"/>
        <v>0.18937725025722213</v>
      </c>
      <c r="S127" s="117">
        <f t="shared" si="103"/>
        <v>0.18937725025722213</v>
      </c>
      <c r="T127" s="117">
        <f t="shared" si="103"/>
        <v>0.18937725025722213</v>
      </c>
      <c r="U127" s="117">
        <f t="shared" si="103"/>
        <v>0.18937725025722213</v>
      </c>
      <c r="V127" s="117">
        <f t="shared" si="103"/>
        <v>0.18937725025722213</v>
      </c>
      <c r="W127" s="117">
        <f t="shared" si="103"/>
        <v>0.18937725025722213</v>
      </c>
    </row>
    <row r="128" spans="1:23" x14ac:dyDescent="0.35">
      <c r="A128" s="112" t="s">
        <v>28</v>
      </c>
      <c r="B128" s="114">
        <f>'Initial demand info'!F39</f>
        <v>1580.5635200000002</v>
      </c>
      <c r="C128" s="115">
        <f t="shared" ref="C128:L129" si="104">C$126*$M128</f>
        <v>1571.4474006174894</v>
      </c>
      <c r="D128" s="115">
        <f t="shared" si="104"/>
        <v>1562.3312812349791</v>
      </c>
      <c r="E128" s="115">
        <f t="shared" si="104"/>
        <v>1553.2151618524686</v>
      </c>
      <c r="F128" s="115">
        <f t="shared" si="104"/>
        <v>1544.0990424699582</v>
      </c>
      <c r="G128" s="115">
        <f t="shared" si="104"/>
        <v>1534.9829230874477</v>
      </c>
      <c r="H128" s="115">
        <f t="shared" si="104"/>
        <v>1525.8698928677236</v>
      </c>
      <c r="I128" s="115">
        <f t="shared" si="104"/>
        <v>1516.7568626479992</v>
      </c>
      <c r="J128" s="115">
        <f t="shared" si="104"/>
        <v>1507.6438324282751</v>
      </c>
      <c r="K128" s="115">
        <f t="shared" si="104"/>
        <v>1498.5308022085508</v>
      </c>
      <c r="L128" s="115">
        <f t="shared" si="104"/>
        <v>1489.4177719888262</v>
      </c>
      <c r="M128" s="117">
        <f t="shared" ref="M128:M129" si="105">B128/B$126</f>
        <v>4.7432176427146464E-2</v>
      </c>
      <c r="N128" s="117">
        <f t="shared" ref="N128:N129" si="106">C128/C$126</f>
        <v>4.7432176427146464E-2</v>
      </c>
      <c r="O128" s="117">
        <f t="shared" si="103"/>
        <v>4.7432176427146464E-2</v>
      </c>
      <c r="P128" s="117">
        <f t="shared" si="103"/>
        <v>4.7432176427146464E-2</v>
      </c>
      <c r="Q128" s="117">
        <f t="shared" si="103"/>
        <v>4.7432176427146464E-2</v>
      </c>
      <c r="R128" s="117">
        <f t="shared" si="103"/>
        <v>4.7432176427146464E-2</v>
      </c>
      <c r="S128" s="117">
        <f t="shared" si="103"/>
        <v>4.7432176427146464E-2</v>
      </c>
      <c r="T128" s="117">
        <f t="shared" si="103"/>
        <v>4.7432176427146464E-2</v>
      </c>
      <c r="U128" s="117">
        <f t="shared" si="103"/>
        <v>4.7432176427146464E-2</v>
      </c>
      <c r="V128" s="117">
        <f t="shared" si="103"/>
        <v>4.7432176427146464E-2</v>
      </c>
      <c r="W128" s="117">
        <f t="shared" si="103"/>
        <v>4.7432176427146464E-2</v>
      </c>
    </row>
    <row r="129" spans="1:63" x14ac:dyDescent="0.35">
      <c r="A129" s="112" t="s">
        <v>30</v>
      </c>
      <c r="B129" s="114">
        <f>'Initial demand info'!F40</f>
        <v>25431.495450000002</v>
      </c>
      <c r="C129" s="115">
        <f t="shared" si="104"/>
        <v>25284.815771730584</v>
      </c>
      <c r="D129" s="115">
        <f t="shared" si="104"/>
        <v>25138.136093461173</v>
      </c>
      <c r="E129" s="115">
        <f t="shared" si="104"/>
        <v>24991.456415191758</v>
      </c>
      <c r="F129" s="115">
        <f t="shared" si="104"/>
        <v>24844.776736922347</v>
      </c>
      <c r="G129" s="115">
        <f t="shared" si="104"/>
        <v>24698.097058652933</v>
      </c>
      <c r="H129" s="115">
        <f t="shared" si="104"/>
        <v>24551.467085459175</v>
      </c>
      <c r="I129" s="115">
        <f t="shared" si="104"/>
        <v>24404.837112265421</v>
      </c>
      <c r="J129" s="115">
        <f t="shared" si="104"/>
        <v>24258.207139071663</v>
      </c>
      <c r="K129" s="115">
        <f t="shared" si="104"/>
        <v>24111.577165877909</v>
      </c>
      <c r="L129" s="115">
        <f t="shared" si="104"/>
        <v>23964.947192684147</v>
      </c>
      <c r="M129" s="117">
        <f t="shared" si="105"/>
        <v>0.76319057331563145</v>
      </c>
      <c r="N129" s="117">
        <f t="shared" si="106"/>
        <v>0.76319057331563145</v>
      </c>
      <c r="O129" s="117">
        <f t="shared" si="103"/>
        <v>0.76319057331563145</v>
      </c>
      <c r="P129" s="117">
        <f t="shared" si="103"/>
        <v>0.76319057331563145</v>
      </c>
      <c r="Q129" s="117">
        <f t="shared" si="103"/>
        <v>0.76319057331563145</v>
      </c>
      <c r="R129" s="117">
        <f t="shared" si="103"/>
        <v>0.76319057331563145</v>
      </c>
      <c r="S129" s="117">
        <f t="shared" si="103"/>
        <v>0.76319057331563145</v>
      </c>
      <c r="T129" s="117">
        <f t="shared" si="103"/>
        <v>0.76319057331563145</v>
      </c>
      <c r="U129" s="117">
        <f t="shared" si="103"/>
        <v>0.76319057331563145</v>
      </c>
      <c r="V129" s="117">
        <f t="shared" si="103"/>
        <v>0.76319057331563145</v>
      </c>
      <c r="W129" s="117">
        <f t="shared" si="103"/>
        <v>0.76319057331563145</v>
      </c>
    </row>
    <row r="131" spans="1:63" x14ac:dyDescent="0.35">
      <c r="A131" s="102" t="s">
        <v>154</v>
      </c>
    </row>
    <row r="132" spans="1:63" x14ac:dyDescent="0.35">
      <c r="A132" s="94" t="s">
        <v>155</v>
      </c>
    </row>
    <row r="133" spans="1:63" x14ac:dyDescent="0.35">
      <c r="A133" s="94" t="s">
        <v>156</v>
      </c>
    </row>
    <row r="136" spans="1:63" x14ac:dyDescent="0.35">
      <c r="A136" s="29" t="s">
        <v>50</v>
      </c>
      <c r="B136" s="108" t="s">
        <v>16</v>
      </c>
      <c r="C136" s="108" t="s">
        <v>17</v>
      </c>
      <c r="D136" s="108" t="s">
        <v>18</v>
      </c>
      <c r="E136" s="108" t="s">
        <v>19</v>
      </c>
      <c r="F136" s="108" t="s">
        <v>20</v>
      </c>
      <c r="G136" s="108" t="s">
        <v>21</v>
      </c>
      <c r="H136" s="108" t="s">
        <v>22</v>
      </c>
      <c r="I136" s="108" t="s">
        <v>23</v>
      </c>
      <c r="J136" s="108" t="s">
        <v>24</v>
      </c>
      <c r="K136" s="108" t="s">
        <v>25</v>
      </c>
      <c r="L136" s="108" t="s">
        <v>26</v>
      </c>
      <c r="M136" s="108" t="s">
        <v>37</v>
      </c>
      <c r="N136" s="108" t="s">
        <v>54</v>
      </c>
      <c r="O136" s="108" t="s">
        <v>55</v>
      </c>
      <c r="P136" s="108" t="s">
        <v>56</v>
      </c>
      <c r="Q136" s="108" t="s">
        <v>57</v>
      </c>
      <c r="R136" s="108" t="s">
        <v>58</v>
      </c>
      <c r="S136" s="108" t="s">
        <v>59</v>
      </c>
      <c r="T136" s="108" t="s">
        <v>60</v>
      </c>
      <c r="U136" s="108" t="s">
        <v>61</v>
      </c>
      <c r="V136" s="108" t="s">
        <v>62</v>
      </c>
      <c r="W136" s="108" t="s">
        <v>85</v>
      </c>
      <c r="X136" s="108" t="s">
        <v>86</v>
      </c>
      <c r="Y136" s="108" t="s">
        <v>87</v>
      </c>
      <c r="Z136" s="108" t="s">
        <v>88</v>
      </c>
      <c r="AA136" s="108" t="s">
        <v>89</v>
      </c>
      <c r="AB136" s="108" t="s">
        <v>126</v>
      </c>
      <c r="AC136" s="108" t="s">
        <v>127</v>
      </c>
      <c r="AD136" s="108" t="s">
        <v>128</v>
      </c>
      <c r="AE136" s="108" t="s">
        <v>129</v>
      </c>
      <c r="AF136" s="108" t="s">
        <v>118</v>
      </c>
      <c r="AG136" s="118" t="s">
        <v>38</v>
      </c>
      <c r="AH136" s="118" t="s">
        <v>40</v>
      </c>
      <c r="AI136" s="118" t="s">
        <v>41</v>
      </c>
      <c r="AJ136" s="118" t="s">
        <v>42</v>
      </c>
      <c r="AK136" s="118" t="s">
        <v>43</v>
      </c>
      <c r="AL136" s="118" t="s">
        <v>44</v>
      </c>
      <c r="AM136" s="118" t="s">
        <v>45</v>
      </c>
      <c r="AN136" s="118" t="s">
        <v>46</v>
      </c>
      <c r="AO136" s="118" t="s">
        <v>47</v>
      </c>
      <c r="AP136" s="118" t="s">
        <v>48</v>
      </c>
      <c r="AQ136" s="118" t="s">
        <v>39</v>
      </c>
      <c r="AR136" s="119" t="s">
        <v>90</v>
      </c>
      <c r="AS136" s="119" t="s">
        <v>91</v>
      </c>
      <c r="AT136" s="119" t="s">
        <v>92</v>
      </c>
      <c r="AU136" s="119" t="s">
        <v>93</v>
      </c>
      <c r="AV136" s="119" t="s">
        <v>94</v>
      </c>
      <c r="AW136" s="119" t="s">
        <v>95</v>
      </c>
      <c r="AX136" s="119" t="s">
        <v>96</v>
      </c>
      <c r="AY136" s="119" t="s">
        <v>97</v>
      </c>
      <c r="AZ136" s="119" t="s">
        <v>98</v>
      </c>
      <c r="BA136" s="119" t="s">
        <v>99</v>
      </c>
      <c r="BB136" s="119" t="s">
        <v>100</v>
      </c>
      <c r="BC136" s="119" t="s">
        <v>101</v>
      </c>
      <c r="BD136" s="119" t="s">
        <v>102</v>
      </c>
      <c r="BE136" s="119" t="s">
        <v>103</v>
      </c>
      <c r="BF136" s="120" t="s">
        <v>104</v>
      </c>
      <c r="BG136" s="120">
        <v>20.46</v>
      </c>
      <c r="BH136" s="120">
        <v>20.47</v>
      </c>
      <c r="BI136" s="120">
        <v>20.48</v>
      </c>
      <c r="BJ136" s="120">
        <v>20.49</v>
      </c>
      <c r="BK136" s="120">
        <v>20.5</v>
      </c>
    </row>
    <row r="137" spans="1:63" x14ac:dyDescent="0.35">
      <c r="A137" s="111" t="s">
        <v>4</v>
      </c>
      <c r="B137" s="114">
        <f>'Initial demand info'!F9</f>
        <v>356529.17533000006</v>
      </c>
      <c r="C137" s="115">
        <f>B137+($G137-$B137)/5</f>
        <v>354770.74026400002</v>
      </c>
      <c r="D137" s="115">
        <f t="shared" ref="D137:F137" si="107">C137+($G137-$B137)/5</f>
        <v>353012.30519799999</v>
      </c>
      <c r="E137" s="115">
        <f t="shared" si="107"/>
        <v>351253.87013199995</v>
      </c>
      <c r="F137" s="115">
        <f t="shared" si="107"/>
        <v>349495.43506599992</v>
      </c>
      <c r="G137" s="116">
        <f>G98</f>
        <v>347737</v>
      </c>
      <c r="H137" s="115">
        <f>G137+($L137-$G137)/5</f>
        <v>344945.8</v>
      </c>
      <c r="I137" s="115">
        <f t="shared" ref="I137" si="108">H137+($L137-$G137)/5</f>
        <v>342154.6</v>
      </c>
      <c r="J137" s="115">
        <f t="shared" ref="J137" si="109">I137+($L137-$G137)/5</f>
        <v>339363.39999999997</v>
      </c>
      <c r="K137" s="115">
        <f t="shared" ref="K137" si="110">J137+($L137-$G137)/5</f>
        <v>336572.19999999995</v>
      </c>
      <c r="L137" s="116">
        <f>L98</f>
        <v>333781</v>
      </c>
      <c r="M137" s="122">
        <f>L137+($L137-$G137)/5</f>
        <v>330989.8</v>
      </c>
      <c r="N137" s="122">
        <f t="shared" ref="N137:V137" si="111">M137+($L137-$G137)/5</f>
        <v>328198.59999999998</v>
      </c>
      <c r="O137" s="122">
        <f t="shared" si="111"/>
        <v>325407.39999999997</v>
      </c>
      <c r="P137" s="122">
        <f t="shared" si="111"/>
        <v>322616.19999999995</v>
      </c>
      <c r="Q137" s="122">
        <f t="shared" si="111"/>
        <v>319824.99999999994</v>
      </c>
      <c r="R137" s="122">
        <f t="shared" si="111"/>
        <v>317033.79999999993</v>
      </c>
      <c r="S137" s="122">
        <f t="shared" si="111"/>
        <v>314242.59999999992</v>
      </c>
      <c r="T137" s="122">
        <f t="shared" si="111"/>
        <v>311451.39999999991</v>
      </c>
      <c r="U137" s="122">
        <f t="shared" si="111"/>
        <v>308660.1999999999</v>
      </c>
      <c r="V137" s="122">
        <f t="shared" si="111"/>
        <v>305868.99999999988</v>
      </c>
      <c r="W137" s="122">
        <f>V137</f>
        <v>305868.99999999988</v>
      </c>
      <c r="X137" s="122">
        <f t="shared" ref="X137:AF137" si="112">W137</f>
        <v>305868.99999999988</v>
      </c>
      <c r="Y137" s="122">
        <f t="shared" si="112"/>
        <v>305868.99999999988</v>
      </c>
      <c r="Z137" s="122">
        <f t="shared" si="112"/>
        <v>305868.99999999988</v>
      </c>
      <c r="AA137" s="122">
        <f t="shared" si="112"/>
        <v>305868.99999999988</v>
      </c>
      <c r="AB137" s="122">
        <f t="shared" si="112"/>
        <v>305868.99999999988</v>
      </c>
      <c r="AC137" s="122">
        <f t="shared" si="112"/>
        <v>305868.99999999988</v>
      </c>
      <c r="AD137" s="122">
        <f t="shared" si="112"/>
        <v>305868.99999999988</v>
      </c>
      <c r="AE137" s="122">
        <f t="shared" si="112"/>
        <v>305868.99999999988</v>
      </c>
      <c r="AF137" s="122">
        <f t="shared" si="112"/>
        <v>305868.99999999988</v>
      </c>
      <c r="AG137" s="121">
        <f t="shared" ref="AG137:AQ137" si="113">SUM(AG138:AG142)</f>
        <v>0.99999999999999989</v>
      </c>
      <c r="AH137" s="121">
        <f t="shared" si="113"/>
        <v>0.99999999999999989</v>
      </c>
      <c r="AI137" s="121">
        <f t="shared" si="113"/>
        <v>0.99999999999999989</v>
      </c>
      <c r="AJ137" s="121">
        <f t="shared" si="113"/>
        <v>0.99999999999999989</v>
      </c>
      <c r="AK137" s="121">
        <f t="shared" si="113"/>
        <v>0.99999999999999989</v>
      </c>
      <c r="AL137" s="121">
        <f t="shared" si="113"/>
        <v>0.99999999999999989</v>
      </c>
      <c r="AM137" s="121">
        <f t="shared" si="113"/>
        <v>0.99999999999999989</v>
      </c>
      <c r="AN137" s="121">
        <f t="shared" si="113"/>
        <v>0.99999999999999989</v>
      </c>
      <c r="AO137" s="121">
        <f t="shared" si="113"/>
        <v>0.99999999999999989</v>
      </c>
      <c r="AP137" s="121">
        <f t="shared" si="113"/>
        <v>0.99999999999999989</v>
      </c>
      <c r="AQ137" s="121">
        <f t="shared" si="113"/>
        <v>0.99999999999999989</v>
      </c>
      <c r="AR137" s="117">
        <f>$AQ137</f>
        <v>0.99999999999999989</v>
      </c>
      <c r="AS137" s="117">
        <f t="shared" ref="AS137:BK152" si="114">$AQ137</f>
        <v>0.99999999999999989</v>
      </c>
      <c r="AT137" s="117">
        <f t="shared" si="114"/>
        <v>0.99999999999999989</v>
      </c>
      <c r="AU137" s="117">
        <f t="shared" si="114"/>
        <v>0.99999999999999989</v>
      </c>
      <c r="AV137" s="117">
        <f t="shared" si="114"/>
        <v>0.99999999999999989</v>
      </c>
      <c r="AW137" s="117">
        <f t="shared" si="114"/>
        <v>0.99999999999999989</v>
      </c>
      <c r="AX137" s="117">
        <f t="shared" si="114"/>
        <v>0.99999999999999989</v>
      </c>
      <c r="AY137" s="117">
        <f t="shared" si="114"/>
        <v>0.99999999999999989</v>
      </c>
      <c r="AZ137" s="117">
        <f t="shared" si="114"/>
        <v>0.99999999999999989</v>
      </c>
      <c r="BA137" s="117">
        <f t="shared" si="114"/>
        <v>0.99999999999999989</v>
      </c>
      <c r="BB137" s="117">
        <f t="shared" si="114"/>
        <v>0.99999999999999989</v>
      </c>
      <c r="BC137" s="117">
        <f t="shared" si="114"/>
        <v>0.99999999999999989</v>
      </c>
      <c r="BD137" s="117">
        <f t="shared" si="114"/>
        <v>0.99999999999999989</v>
      </c>
      <c r="BE137" s="117">
        <f t="shared" si="114"/>
        <v>0.99999999999999989</v>
      </c>
      <c r="BF137" s="117">
        <f t="shared" si="114"/>
        <v>0.99999999999999989</v>
      </c>
      <c r="BG137" s="117">
        <f t="shared" si="114"/>
        <v>0.99999999999999989</v>
      </c>
      <c r="BH137" s="117">
        <f t="shared" si="114"/>
        <v>0.99999999999999989</v>
      </c>
      <c r="BI137" s="117">
        <f t="shared" si="114"/>
        <v>0.99999999999999989</v>
      </c>
      <c r="BJ137" s="117">
        <f t="shared" si="114"/>
        <v>0.99999999999999989</v>
      </c>
      <c r="BK137" s="117">
        <f t="shared" si="114"/>
        <v>0.99999999999999989</v>
      </c>
    </row>
    <row r="138" spans="1:63" x14ac:dyDescent="0.35">
      <c r="A138" s="112" t="s">
        <v>13</v>
      </c>
      <c r="B138" s="114">
        <f>'Initial demand info'!F10</f>
        <v>73144.942790000001</v>
      </c>
      <c r="C138" s="115">
        <f t="shared" ref="C138:L142" si="115">C$98*$AG138</f>
        <v>72784.185126385375</v>
      </c>
      <c r="D138" s="115">
        <f t="shared" si="115"/>
        <v>72423.427462770735</v>
      </c>
      <c r="E138" s="115">
        <f t="shared" si="115"/>
        <v>72062.669799156109</v>
      </c>
      <c r="F138" s="115">
        <f t="shared" si="115"/>
        <v>71701.912135541483</v>
      </c>
      <c r="G138" s="115">
        <f t="shared" si="115"/>
        <v>71341.154471926871</v>
      </c>
      <c r="H138" s="115">
        <f t="shared" si="115"/>
        <v>70768.516442720764</v>
      </c>
      <c r="I138" s="115">
        <f t="shared" si="115"/>
        <v>70195.878413514656</v>
      </c>
      <c r="J138" s="115">
        <f t="shared" si="115"/>
        <v>69623.240384308549</v>
      </c>
      <c r="K138" s="115">
        <f t="shared" si="115"/>
        <v>69050.602355102455</v>
      </c>
      <c r="L138" s="115">
        <f t="shared" si="115"/>
        <v>68477.964325896362</v>
      </c>
      <c r="M138" s="122">
        <f t="shared" ref="M138:V142" si="116">L138+($L138-$G138)/5</f>
        <v>67905.326296690255</v>
      </c>
      <c r="N138" s="122">
        <f t="shared" si="116"/>
        <v>67332.688267484147</v>
      </c>
      <c r="O138" s="122">
        <f t="shared" si="116"/>
        <v>66760.05023827804</v>
      </c>
      <c r="P138" s="122">
        <f t="shared" si="116"/>
        <v>66187.412209071932</v>
      </c>
      <c r="Q138" s="122">
        <f t="shared" si="116"/>
        <v>65614.774179865824</v>
      </c>
      <c r="R138" s="122">
        <f t="shared" si="116"/>
        <v>65042.136150659724</v>
      </c>
      <c r="S138" s="122">
        <f t="shared" si="116"/>
        <v>64469.498121453624</v>
      </c>
      <c r="T138" s="122">
        <f t="shared" si="116"/>
        <v>63896.860092247523</v>
      </c>
      <c r="U138" s="122">
        <f t="shared" si="116"/>
        <v>63324.222063041423</v>
      </c>
      <c r="V138" s="122">
        <f>U138+($L138-$G138)/5</f>
        <v>62751.584033835323</v>
      </c>
      <c r="W138" s="122">
        <f t="shared" ref="W138:AF142" si="117">V138</f>
        <v>62751.584033835323</v>
      </c>
      <c r="X138" s="122">
        <f t="shared" si="117"/>
        <v>62751.584033835323</v>
      </c>
      <c r="Y138" s="122">
        <f t="shared" si="117"/>
        <v>62751.584033835323</v>
      </c>
      <c r="Z138" s="122">
        <f t="shared" si="117"/>
        <v>62751.584033835323</v>
      </c>
      <c r="AA138" s="122">
        <f t="shared" si="117"/>
        <v>62751.584033835323</v>
      </c>
      <c r="AB138" s="122">
        <f t="shared" si="117"/>
        <v>62751.584033835323</v>
      </c>
      <c r="AC138" s="122">
        <f t="shared" si="117"/>
        <v>62751.584033835323</v>
      </c>
      <c r="AD138" s="122">
        <f t="shared" si="117"/>
        <v>62751.584033835323</v>
      </c>
      <c r="AE138" s="122">
        <f t="shared" si="117"/>
        <v>62751.584033835323</v>
      </c>
      <c r="AF138" s="122">
        <f t="shared" si="117"/>
        <v>62751.584033835323</v>
      </c>
      <c r="AG138" s="117">
        <f t="shared" ref="AG138:AQ142" si="118">B138/B$98</f>
        <v>0.20515836529310044</v>
      </c>
      <c r="AH138" s="117">
        <f t="shared" si="118"/>
        <v>0.20515836529310044</v>
      </c>
      <c r="AI138" s="117">
        <f t="shared" si="118"/>
        <v>0.20515836529310041</v>
      </c>
      <c r="AJ138" s="117">
        <f t="shared" si="118"/>
        <v>0.20515836529310044</v>
      </c>
      <c r="AK138" s="117">
        <f t="shared" si="118"/>
        <v>0.20515836529310047</v>
      </c>
      <c r="AL138" s="117">
        <f t="shared" si="118"/>
        <v>0.20515836529310044</v>
      </c>
      <c r="AM138" s="117">
        <f t="shared" si="118"/>
        <v>0.20515836529310044</v>
      </c>
      <c r="AN138" s="117">
        <f t="shared" si="118"/>
        <v>0.20515836529310044</v>
      </c>
      <c r="AO138" s="117">
        <f t="shared" si="118"/>
        <v>0.20515836529310041</v>
      </c>
      <c r="AP138" s="117">
        <f t="shared" si="118"/>
        <v>0.20515836529310044</v>
      </c>
      <c r="AQ138" s="117">
        <f t="shared" si="118"/>
        <v>0.20515836529310044</v>
      </c>
      <c r="AR138" s="117">
        <f t="shared" ref="AR138:BG168" si="119">$AQ138</f>
        <v>0.20515836529310044</v>
      </c>
      <c r="AS138" s="117">
        <f t="shared" si="119"/>
        <v>0.20515836529310044</v>
      </c>
      <c r="AT138" s="117">
        <f t="shared" si="119"/>
        <v>0.20515836529310044</v>
      </c>
      <c r="AU138" s="117">
        <f t="shared" si="119"/>
        <v>0.20515836529310044</v>
      </c>
      <c r="AV138" s="117">
        <f t="shared" si="119"/>
        <v>0.20515836529310044</v>
      </c>
      <c r="AW138" s="117">
        <f t="shared" si="119"/>
        <v>0.20515836529310044</v>
      </c>
      <c r="AX138" s="117">
        <f t="shared" si="119"/>
        <v>0.20515836529310044</v>
      </c>
      <c r="AY138" s="117">
        <f t="shared" si="119"/>
        <v>0.20515836529310044</v>
      </c>
      <c r="AZ138" s="117">
        <f t="shared" si="119"/>
        <v>0.20515836529310044</v>
      </c>
      <c r="BA138" s="117">
        <f t="shared" si="119"/>
        <v>0.20515836529310044</v>
      </c>
      <c r="BB138" s="117">
        <f t="shared" si="119"/>
        <v>0.20515836529310044</v>
      </c>
      <c r="BC138" s="117">
        <f t="shared" si="119"/>
        <v>0.20515836529310044</v>
      </c>
      <c r="BD138" s="117">
        <f t="shared" si="119"/>
        <v>0.20515836529310044</v>
      </c>
      <c r="BE138" s="117">
        <f t="shared" si="119"/>
        <v>0.20515836529310044</v>
      </c>
      <c r="BF138" s="117">
        <f t="shared" si="119"/>
        <v>0.20515836529310044</v>
      </c>
      <c r="BG138" s="117">
        <f t="shared" si="119"/>
        <v>0.20515836529310044</v>
      </c>
      <c r="BH138" s="117">
        <f t="shared" si="114"/>
        <v>0.20515836529310044</v>
      </c>
      <c r="BI138" s="117">
        <f t="shared" si="114"/>
        <v>0.20515836529310044</v>
      </c>
      <c r="BJ138" s="117">
        <f t="shared" si="114"/>
        <v>0.20515836529310044</v>
      </c>
      <c r="BK138" s="117">
        <f t="shared" si="114"/>
        <v>0.20515836529310044</v>
      </c>
    </row>
    <row r="139" spans="1:63" x14ac:dyDescent="0.35">
      <c r="A139" s="112" t="s">
        <v>12</v>
      </c>
      <c r="B139" s="114">
        <f>'Initial demand info'!F11</f>
        <v>10113.692230000001</v>
      </c>
      <c r="C139" s="115">
        <f t="shared" si="115"/>
        <v>10063.810558892712</v>
      </c>
      <c r="D139" s="115">
        <f t="shared" si="115"/>
        <v>10013.928887785423</v>
      </c>
      <c r="E139" s="115">
        <f t="shared" si="115"/>
        <v>9964.0472166781328</v>
      </c>
      <c r="F139" s="115">
        <f t="shared" si="115"/>
        <v>9914.1655455708442</v>
      </c>
      <c r="G139" s="115">
        <f t="shared" si="115"/>
        <v>9864.2838744635592</v>
      </c>
      <c r="H139" s="115">
        <f t="shared" si="115"/>
        <v>9785.1056761401051</v>
      </c>
      <c r="I139" s="115">
        <f t="shared" si="115"/>
        <v>9705.9274778166509</v>
      </c>
      <c r="J139" s="115">
        <f t="shared" si="115"/>
        <v>9626.7492794931968</v>
      </c>
      <c r="K139" s="115">
        <f t="shared" si="115"/>
        <v>9547.5710811697445</v>
      </c>
      <c r="L139" s="115">
        <f t="shared" si="115"/>
        <v>9468.3928828462922</v>
      </c>
      <c r="M139" s="122">
        <f t="shared" si="116"/>
        <v>9389.2146845228381</v>
      </c>
      <c r="N139" s="122">
        <f t="shared" si="116"/>
        <v>9310.0364861993839</v>
      </c>
      <c r="O139" s="122">
        <f t="shared" si="116"/>
        <v>9230.8582878759298</v>
      </c>
      <c r="P139" s="122">
        <f t="shared" si="116"/>
        <v>9151.6800895524757</v>
      </c>
      <c r="Q139" s="122">
        <f t="shared" si="116"/>
        <v>9072.5018912290216</v>
      </c>
      <c r="R139" s="122">
        <f t="shared" si="116"/>
        <v>8993.3236929055674</v>
      </c>
      <c r="S139" s="122">
        <f t="shared" si="116"/>
        <v>8914.1454945821133</v>
      </c>
      <c r="T139" s="122">
        <f t="shared" si="116"/>
        <v>8834.9672962586592</v>
      </c>
      <c r="U139" s="122">
        <f t="shared" si="116"/>
        <v>8755.7890979352051</v>
      </c>
      <c r="V139" s="122">
        <f t="shared" si="116"/>
        <v>8676.6108996117509</v>
      </c>
      <c r="W139" s="122">
        <f t="shared" si="117"/>
        <v>8676.6108996117509</v>
      </c>
      <c r="X139" s="122">
        <f t="shared" si="117"/>
        <v>8676.6108996117509</v>
      </c>
      <c r="Y139" s="122">
        <f t="shared" si="117"/>
        <v>8676.6108996117509</v>
      </c>
      <c r="Z139" s="122">
        <f t="shared" si="117"/>
        <v>8676.6108996117509</v>
      </c>
      <c r="AA139" s="122">
        <f t="shared" si="117"/>
        <v>8676.6108996117509</v>
      </c>
      <c r="AB139" s="122">
        <f t="shared" si="117"/>
        <v>8676.6108996117509</v>
      </c>
      <c r="AC139" s="122">
        <f t="shared" si="117"/>
        <v>8676.6108996117509</v>
      </c>
      <c r="AD139" s="122">
        <f t="shared" si="117"/>
        <v>8676.6108996117509</v>
      </c>
      <c r="AE139" s="122">
        <f t="shared" si="117"/>
        <v>8676.6108996117509</v>
      </c>
      <c r="AF139" s="122">
        <f t="shared" si="117"/>
        <v>8676.6108996117509</v>
      </c>
      <c r="AG139" s="117">
        <f t="shared" si="118"/>
        <v>2.8367081657872353E-2</v>
      </c>
      <c r="AH139" s="117">
        <f t="shared" si="118"/>
        <v>2.8367081657872353E-2</v>
      </c>
      <c r="AI139" s="117">
        <f t="shared" si="118"/>
        <v>2.8367081657872356E-2</v>
      </c>
      <c r="AJ139" s="117">
        <f t="shared" si="118"/>
        <v>2.8367081657872353E-2</v>
      </c>
      <c r="AK139" s="117">
        <f t="shared" si="118"/>
        <v>2.8367081657872353E-2</v>
      </c>
      <c r="AL139" s="117">
        <f t="shared" si="118"/>
        <v>2.8367081657872356E-2</v>
      </c>
      <c r="AM139" s="117">
        <f t="shared" si="118"/>
        <v>2.8367081657872353E-2</v>
      </c>
      <c r="AN139" s="117">
        <f t="shared" si="118"/>
        <v>2.8367081657872353E-2</v>
      </c>
      <c r="AO139" s="117">
        <f t="shared" si="118"/>
        <v>2.8367081657872353E-2</v>
      </c>
      <c r="AP139" s="117">
        <f t="shared" si="118"/>
        <v>2.8367081657872356E-2</v>
      </c>
      <c r="AQ139" s="117">
        <f t="shared" si="118"/>
        <v>2.8367081657872353E-2</v>
      </c>
      <c r="AR139" s="117">
        <f t="shared" si="119"/>
        <v>2.8367081657872353E-2</v>
      </c>
      <c r="AS139" s="117">
        <f t="shared" si="114"/>
        <v>2.8367081657872353E-2</v>
      </c>
      <c r="AT139" s="117">
        <f t="shared" si="114"/>
        <v>2.8367081657872353E-2</v>
      </c>
      <c r="AU139" s="117">
        <f t="shared" si="114"/>
        <v>2.8367081657872353E-2</v>
      </c>
      <c r="AV139" s="117">
        <f t="shared" si="114"/>
        <v>2.8367081657872353E-2</v>
      </c>
      <c r="AW139" s="117">
        <f t="shared" si="114"/>
        <v>2.8367081657872353E-2</v>
      </c>
      <c r="AX139" s="117">
        <f t="shared" si="114"/>
        <v>2.8367081657872353E-2</v>
      </c>
      <c r="AY139" s="117">
        <f t="shared" si="114"/>
        <v>2.8367081657872353E-2</v>
      </c>
      <c r="AZ139" s="117">
        <f t="shared" si="114"/>
        <v>2.8367081657872353E-2</v>
      </c>
      <c r="BA139" s="117">
        <f t="shared" si="114"/>
        <v>2.8367081657872353E-2</v>
      </c>
      <c r="BB139" s="117">
        <f t="shared" si="114"/>
        <v>2.8367081657872353E-2</v>
      </c>
      <c r="BC139" s="117">
        <f t="shared" si="114"/>
        <v>2.8367081657872353E-2</v>
      </c>
      <c r="BD139" s="117">
        <f t="shared" si="114"/>
        <v>2.8367081657872353E-2</v>
      </c>
      <c r="BE139" s="117">
        <f t="shared" si="114"/>
        <v>2.8367081657872353E-2</v>
      </c>
      <c r="BF139" s="117">
        <f t="shared" si="114"/>
        <v>2.8367081657872353E-2</v>
      </c>
      <c r="BG139" s="117">
        <f t="shared" si="114"/>
        <v>2.8367081657872353E-2</v>
      </c>
      <c r="BH139" s="117">
        <f t="shared" si="114"/>
        <v>2.8367081657872353E-2</v>
      </c>
      <c r="BI139" s="117">
        <f t="shared" si="114"/>
        <v>2.8367081657872353E-2</v>
      </c>
      <c r="BJ139" s="117">
        <f t="shared" si="114"/>
        <v>2.8367081657872353E-2</v>
      </c>
      <c r="BK139" s="117">
        <f t="shared" si="114"/>
        <v>2.8367081657872353E-2</v>
      </c>
    </row>
    <row r="140" spans="1:63" x14ac:dyDescent="0.35">
      <c r="A140" s="112" t="s">
        <v>11</v>
      </c>
      <c r="B140" s="114">
        <f>'Initial demand info'!F12</f>
        <v>66211.648509999999</v>
      </c>
      <c r="C140" s="115">
        <f t="shared" si="115"/>
        <v>65885.086498882985</v>
      </c>
      <c r="D140" s="115">
        <f t="shared" si="115"/>
        <v>65558.524487765986</v>
      </c>
      <c r="E140" s="115">
        <f t="shared" si="115"/>
        <v>65231.962476648972</v>
      </c>
      <c r="F140" s="115">
        <f t="shared" si="115"/>
        <v>64905.400465531966</v>
      </c>
      <c r="G140" s="115">
        <f t="shared" si="115"/>
        <v>64578.838454414981</v>
      </c>
      <c r="H140" s="115">
        <f t="shared" si="115"/>
        <v>64060.479884881213</v>
      </c>
      <c r="I140" s="115">
        <f t="shared" si="115"/>
        <v>63542.121315347445</v>
      </c>
      <c r="J140" s="115">
        <f t="shared" si="115"/>
        <v>63023.762745813678</v>
      </c>
      <c r="K140" s="115">
        <f t="shared" si="115"/>
        <v>62505.40417627991</v>
      </c>
      <c r="L140" s="115">
        <f t="shared" si="115"/>
        <v>61987.045606746149</v>
      </c>
      <c r="M140" s="122">
        <f t="shared" si="116"/>
        <v>61468.687037212381</v>
      </c>
      <c r="N140" s="122">
        <f t="shared" si="116"/>
        <v>60950.328467678613</v>
      </c>
      <c r="O140" s="122">
        <f t="shared" si="116"/>
        <v>60431.969898144846</v>
      </c>
      <c r="P140" s="122">
        <f t="shared" si="116"/>
        <v>59913.611328611078</v>
      </c>
      <c r="Q140" s="122">
        <f t="shared" si="116"/>
        <v>59395.25275907731</v>
      </c>
      <c r="R140" s="122">
        <f t="shared" si="116"/>
        <v>58876.894189543542</v>
      </c>
      <c r="S140" s="122">
        <f t="shared" si="116"/>
        <v>58358.535620009774</v>
      </c>
      <c r="T140" s="122">
        <f t="shared" si="116"/>
        <v>57840.177050476006</v>
      </c>
      <c r="U140" s="122">
        <f t="shared" si="116"/>
        <v>57321.818480942238</v>
      </c>
      <c r="V140" s="122">
        <f t="shared" si="116"/>
        <v>56803.45991140847</v>
      </c>
      <c r="W140" s="122">
        <f t="shared" si="117"/>
        <v>56803.45991140847</v>
      </c>
      <c r="X140" s="122">
        <f t="shared" si="117"/>
        <v>56803.45991140847</v>
      </c>
      <c r="Y140" s="122">
        <f t="shared" si="117"/>
        <v>56803.45991140847</v>
      </c>
      <c r="Z140" s="122">
        <f t="shared" si="117"/>
        <v>56803.45991140847</v>
      </c>
      <c r="AA140" s="122">
        <f t="shared" si="117"/>
        <v>56803.45991140847</v>
      </c>
      <c r="AB140" s="122">
        <f t="shared" si="117"/>
        <v>56803.45991140847</v>
      </c>
      <c r="AC140" s="122">
        <f t="shared" si="117"/>
        <v>56803.45991140847</v>
      </c>
      <c r="AD140" s="122">
        <f t="shared" si="117"/>
        <v>56803.45991140847</v>
      </c>
      <c r="AE140" s="122">
        <f t="shared" si="117"/>
        <v>56803.45991140847</v>
      </c>
      <c r="AF140" s="122">
        <f t="shared" si="117"/>
        <v>56803.45991140847</v>
      </c>
      <c r="AG140" s="117">
        <f t="shared" si="118"/>
        <v>0.18571172597225771</v>
      </c>
      <c r="AH140" s="117">
        <f t="shared" si="118"/>
        <v>0.18571172597225771</v>
      </c>
      <c r="AI140" s="117">
        <f t="shared" si="118"/>
        <v>0.18571172597225774</v>
      </c>
      <c r="AJ140" s="117">
        <f t="shared" si="118"/>
        <v>0.18571172597225771</v>
      </c>
      <c r="AK140" s="117">
        <f t="shared" si="118"/>
        <v>0.18571172597225771</v>
      </c>
      <c r="AL140" s="117">
        <f t="shared" si="118"/>
        <v>0.18571172597225771</v>
      </c>
      <c r="AM140" s="117">
        <f t="shared" si="118"/>
        <v>0.18571172597225771</v>
      </c>
      <c r="AN140" s="117">
        <f t="shared" si="118"/>
        <v>0.18571172597225771</v>
      </c>
      <c r="AO140" s="117">
        <f t="shared" si="118"/>
        <v>0.18571172597225771</v>
      </c>
      <c r="AP140" s="117">
        <f t="shared" si="118"/>
        <v>0.18571172597225771</v>
      </c>
      <c r="AQ140" s="117">
        <f t="shared" si="118"/>
        <v>0.18571172597225771</v>
      </c>
      <c r="AR140" s="117">
        <f t="shared" si="119"/>
        <v>0.18571172597225771</v>
      </c>
      <c r="AS140" s="117">
        <f t="shared" si="114"/>
        <v>0.18571172597225771</v>
      </c>
      <c r="AT140" s="117">
        <f t="shared" si="114"/>
        <v>0.18571172597225771</v>
      </c>
      <c r="AU140" s="117">
        <f t="shared" si="114"/>
        <v>0.18571172597225771</v>
      </c>
      <c r="AV140" s="117">
        <f t="shared" si="114"/>
        <v>0.18571172597225771</v>
      </c>
      <c r="AW140" s="117">
        <f t="shared" si="114"/>
        <v>0.18571172597225771</v>
      </c>
      <c r="AX140" s="117">
        <f t="shared" si="114"/>
        <v>0.18571172597225771</v>
      </c>
      <c r="AY140" s="117">
        <f t="shared" si="114"/>
        <v>0.18571172597225771</v>
      </c>
      <c r="AZ140" s="117">
        <f t="shared" si="114"/>
        <v>0.18571172597225771</v>
      </c>
      <c r="BA140" s="117">
        <f t="shared" si="114"/>
        <v>0.18571172597225771</v>
      </c>
      <c r="BB140" s="117">
        <f t="shared" si="114"/>
        <v>0.18571172597225771</v>
      </c>
      <c r="BC140" s="117">
        <f t="shared" si="114"/>
        <v>0.18571172597225771</v>
      </c>
      <c r="BD140" s="117">
        <f t="shared" si="114"/>
        <v>0.18571172597225771</v>
      </c>
      <c r="BE140" s="117">
        <f t="shared" si="114"/>
        <v>0.18571172597225771</v>
      </c>
      <c r="BF140" s="117">
        <f t="shared" si="114"/>
        <v>0.18571172597225771</v>
      </c>
      <c r="BG140" s="117">
        <f t="shared" si="114"/>
        <v>0.18571172597225771</v>
      </c>
      <c r="BH140" s="117">
        <f t="shared" si="114"/>
        <v>0.18571172597225771</v>
      </c>
      <c r="BI140" s="117">
        <f t="shared" si="114"/>
        <v>0.18571172597225771</v>
      </c>
      <c r="BJ140" s="117">
        <f t="shared" si="114"/>
        <v>0.18571172597225771</v>
      </c>
      <c r="BK140" s="117">
        <f t="shared" si="114"/>
        <v>0.18571172597225771</v>
      </c>
    </row>
    <row r="141" spans="1:63" x14ac:dyDescent="0.35">
      <c r="A141" s="112" t="s">
        <v>9</v>
      </c>
      <c r="B141" s="114">
        <f>'Initial demand info'!F13</f>
        <v>185296.10311</v>
      </c>
      <c r="C141" s="115">
        <f t="shared" si="115"/>
        <v>184382.2054885776</v>
      </c>
      <c r="D141" s="115">
        <f t="shared" si="115"/>
        <v>183468.30786715518</v>
      </c>
      <c r="E141" s="115">
        <f t="shared" si="115"/>
        <v>182554.41024573275</v>
      </c>
      <c r="F141" s="115">
        <f t="shared" si="115"/>
        <v>181640.51262431036</v>
      </c>
      <c r="G141" s="115">
        <f t="shared" si="115"/>
        <v>180726.61500288799</v>
      </c>
      <c r="H141" s="115">
        <f t="shared" si="115"/>
        <v>179275.96658814908</v>
      </c>
      <c r="I141" s="115">
        <f t="shared" si="115"/>
        <v>177825.31817341017</v>
      </c>
      <c r="J141" s="115">
        <f t="shared" si="115"/>
        <v>176374.66975867128</v>
      </c>
      <c r="K141" s="115">
        <f t="shared" si="115"/>
        <v>174924.02134393237</v>
      </c>
      <c r="L141" s="115">
        <f t="shared" si="115"/>
        <v>173473.37292919349</v>
      </c>
      <c r="M141" s="122">
        <f t="shared" si="116"/>
        <v>172022.72451445457</v>
      </c>
      <c r="N141" s="122">
        <f t="shared" si="116"/>
        <v>170572.07609971566</v>
      </c>
      <c r="O141" s="122">
        <f t="shared" si="116"/>
        <v>169121.42768497675</v>
      </c>
      <c r="P141" s="122">
        <f t="shared" si="116"/>
        <v>167670.77927023784</v>
      </c>
      <c r="Q141" s="122">
        <f t="shared" si="116"/>
        <v>166220.13085549892</v>
      </c>
      <c r="R141" s="122">
        <f t="shared" si="116"/>
        <v>164769.48244076001</v>
      </c>
      <c r="S141" s="122">
        <f t="shared" si="116"/>
        <v>163318.8340260211</v>
      </c>
      <c r="T141" s="122">
        <f t="shared" si="116"/>
        <v>161868.18561128218</v>
      </c>
      <c r="U141" s="122">
        <f t="shared" si="116"/>
        <v>160417.53719654327</v>
      </c>
      <c r="V141" s="122">
        <f t="shared" si="116"/>
        <v>158966.88878180436</v>
      </c>
      <c r="W141" s="122">
        <f t="shared" si="117"/>
        <v>158966.88878180436</v>
      </c>
      <c r="X141" s="122">
        <f t="shared" si="117"/>
        <v>158966.88878180436</v>
      </c>
      <c r="Y141" s="122">
        <f t="shared" si="117"/>
        <v>158966.88878180436</v>
      </c>
      <c r="Z141" s="122">
        <f t="shared" si="117"/>
        <v>158966.88878180436</v>
      </c>
      <c r="AA141" s="122">
        <f t="shared" si="117"/>
        <v>158966.88878180436</v>
      </c>
      <c r="AB141" s="122">
        <f t="shared" si="117"/>
        <v>158966.88878180436</v>
      </c>
      <c r="AC141" s="122">
        <f t="shared" si="117"/>
        <v>158966.88878180436</v>
      </c>
      <c r="AD141" s="122">
        <f t="shared" si="117"/>
        <v>158966.88878180436</v>
      </c>
      <c r="AE141" s="122">
        <f t="shared" si="117"/>
        <v>158966.88878180436</v>
      </c>
      <c r="AF141" s="122">
        <f t="shared" si="117"/>
        <v>158966.88878180436</v>
      </c>
      <c r="AG141" s="117">
        <f t="shared" si="118"/>
        <v>0.51972213196435235</v>
      </c>
      <c r="AH141" s="117">
        <f t="shared" si="118"/>
        <v>0.51972213196435235</v>
      </c>
      <c r="AI141" s="117">
        <f t="shared" si="118"/>
        <v>0.51972213196435235</v>
      </c>
      <c r="AJ141" s="117">
        <f t="shared" si="118"/>
        <v>0.51972213196435235</v>
      </c>
      <c r="AK141" s="117">
        <f t="shared" si="118"/>
        <v>0.51972213196435235</v>
      </c>
      <c r="AL141" s="117">
        <f t="shared" si="118"/>
        <v>0.51972213196435235</v>
      </c>
      <c r="AM141" s="117">
        <f t="shared" si="118"/>
        <v>0.51972213196435235</v>
      </c>
      <c r="AN141" s="117">
        <f t="shared" si="118"/>
        <v>0.51972213196435235</v>
      </c>
      <c r="AO141" s="117">
        <f t="shared" si="118"/>
        <v>0.51972213196435235</v>
      </c>
      <c r="AP141" s="117">
        <f t="shared" si="118"/>
        <v>0.51972213196435235</v>
      </c>
      <c r="AQ141" s="117">
        <f t="shared" si="118"/>
        <v>0.51972213196435235</v>
      </c>
      <c r="AR141" s="117">
        <f t="shared" si="119"/>
        <v>0.51972213196435235</v>
      </c>
      <c r="AS141" s="117">
        <f t="shared" si="114"/>
        <v>0.51972213196435235</v>
      </c>
      <c r="AT141" s="117">
        <f t="shared" si="114"/>
        <v>0.51972213196435235</v>
      </c>
      <c r="AU141" s="117">
        <f t="shared" si="114"/>
        <v>0.51972213196435235</v>
      </c>
      <c r="AV141" s="117">
        <f t="shared" si="114"/>
        <v>0.51972213196435235</v>
      </c>
      <c r="AW141" s="117">
        <f t="shared" si="114"/>
        <v>0.51972213196435235</v>
      </c>
      <c r="AX141" s="117">
        <f t="shared" si="114"/>
        <v>0.51972213196435235</v>
      </c>
      <c r="AY141" s="117">
        <f t="shared" si="114"/>
        <v>0.51972213196435235</v>
      </c>
      <c r="AZ141" s="117">
        <f t="shared" si="114"/>
        <v>0.51972213196435235</v>
      </c>
      <c r="BA141" s="117">
        <f t="shared" si="114"/>
        <v>0.51972213196435235</v>
      </c>
      <c r="BB141" s="117">
        <f t="shared" si="114"/>
        <v>0.51972213196435235</v>
      </c>
      <c r="BC141" s="117">
        <f t="shared" si="114"/>
        <v>0.51972213196435235</v>
      </c>
      <c r="BD141" s="117">
        <f t="shared" si="114"/>
        <v>0.51972213196435235</v>
      </c>
      <c r="BE141" s="117">
        <f t="shared" si="114"/>
        <v>0.51972213196435235</v>
      </c>
      <c r="BF141" s="117">
        <f t="shared" si="114"/>
        <v>0.51972213196435235</v>
      </c>
      <c r="BG141" s="117">
        <f t="shared" si="114"/>
        <v>0.51972213196435235</v>
      </c>
      <c r="BH141" s="117">
        <f t="shared" si="114"/>
        <v>0.51972213196435235</v>
      </c>
      <c r="BI141" s="117">
        <f t="shared" si="114"/>
        <v>0.51972213196435235</v>
      </c>
      <c r="BJ141" s="117">
        <f t="shared" si="114"/>
        <v>0.51972213196435235</v>
      </c>
      <c r="BK141" s="117">
        <f t="shared" si="114"/>
        <v>0.51972213196435235</v>
      </c>
    </row>
    <row r="142" spans="1:63" x14ac:dyDescent="0.35">
      <c r="A142" s="112" t="s">
        <v>10</v>
      </c>
      <c r="B142" s="114">
        <f>'Initial demand info'!F14</f>
        <v>21762.788690000001</v>
      </c>
      <c r="C142" s="115">
        <f t="shared" si="115"/>
        <v>21655.45259126131</v>
      </c>
      <c r="D142" s="115">
        <f t="shared" si="115"/>
        <v>21548.116492522622</v>
      </c>
      <c r="E142" s="115">
        <f t="shared" si="115"/>
        <v>21440.780393783931</v>
      </c>
      <c r="F142" s="115">
        <f t="shared" si="115"/>
        <v>21333.444295045239</v>
      </c>
      <c r="G142" s="115">
        <f t="shared" si="115"/>
        <v>21226.108196306555</v>
      </c>
      <c r="H142" s="115">
        <f t="shared" si="115"/>
        <v>21055.731408108775</v>
      </c>
      <c r="I142" s="115">
        <f t="shared" si="115"/>
        <v>20885.354619910995</v>
      </c>
      <c r="J142" s="115">
        <f t="shared" si="115"/>
        <v>20714.977831713219</v>
      </c>
      <c r="K142" s="115">
        <f t="shared" si="115"/>
        <v>20544.601043515439</v>
      </c>
      <c r="L142" s="115">
        <f t="shared" si="115"/>
        <v>20374.224255317662</v>
      </c>
      <c r="M142" s="122">
        <f t="shared" si="116"/>
        <v>20203.847467119882</v>
      </c>
      <c r="N142" s="122">
        <f t="shared" si="116"/>
        <v>20033.470678922102</v>
      </c>
      <c r="O142" s="122">
        <f t="shared" si="116"/>
        <v>19863.093890724322</v>
      </c>
      <c r="P142" s="122">
        <f t="shared" si="116"/>
        <v>19692.717102526542</v>
      </c>
      <c r="Q142" s="122">
        <f t="shared" si="116"/>
        <v>19522.340314328761</v>
      </c>
      <c r="R142" s="122">
        <f t="shared" si="116"/>
        <v>19351.963526130981</v>
      </c>
      <c r="S142" s="122">
        <f t="shared" si="116"/>
        <v>19181.586737933201</v>
      </c>
      <c r="T142" s="122">
        <f t="shared" si="116"/>
        <v>19011.209949735421</v>
      </c>
      <c r="U142" s="122">
        <f t="shared" si="116"/>
        <v>18840.833161537641</v>
      </c>
      <c r="V142" s="122">
        <f t="shared" si="116"/>
        <v>18670.456373339861</v>
      </c>
      <c r="W142" s="122">
        <f t="shared" si="117"/>
        <v>18670.456373339861</v>
      </c>
      <c r="X142" s="122">
        <f t="shared" si="117"/>
        <v>18670.456373339861</v>
      </c>
      <c r="Y142" s="122">
        <f t="shared" si="117"/>
        <v>18670.456373339861</v>
      </c>
      <c r="Z142" s="122">
        <f t="shared" si="117"/>
        <v>18670.456373339861</v>
      </c>
      <c r="AA142" s="122">
        <f t="shared" si="117"/>
        <v>18670.456373339861</v>
      </c>
      <c r="AB142" s="122">
        <f t="shared" si="117"/>
        <v>18670.456373339861</v>
      </c>
      <c r="AC142" s="122">
        <f t="shared" si="117"/>
        <v>18670.456373339861</v>
      </c>
      <c r="AD142" s="122">
        <f t="shared" si="117"/>
        <v>18670.456373339861</v>
      </c>
      <c r="AE142" s="122">
        <f t="shared" si="117"/>
        <v>18670.456373339861</v>
      </c>
      <c r="AF142" s="122">
        <f t="shared" si="117"/>
        <v>18670.456373339861</v>
      </c>
      <c r="AG142" s="117">
        <f t="shared" si="118"/>
        <v>6.1040695112417012E-2</v>
      </c>
      <c r="AH142" s="117">
        <f t="shared" si="118"/>
        <v>6.1040695112417005E-2</v>
      </c>
      <c r="AI142" s="117">
        <f t="shared" si="118"/>
        <v>6.1040695112417019E-2</v>
      </c>
      <c r="AJ142" s="117">
        <f t="shared" si="118"/>
        <v>6.1040695112417019E-2</v>
      </c>
      <c r="AK142" s="117">
        <f t="shared" si="118"/>
        <v>6.1040695112417012E-2</v>
      </c>
      <c r="AL142" s="117">
        <f t="shared" si="118"/>
        <v>6.1040695112417012E-2</v>
      </c>
      <c r="AM142" s="117">
        <f t="shared" si="118"/>
        <v>6.1040695112417012E-2</v>
      </c>
      <c r="AN142" s="117">
        <f t="shared" si="118"/>
        <v>6.1040695112417005E-2</v>
      </c>
      <c r="AO142" s="117">
        <f t="shared" si="118"/>
        <v>6.1040695112417019E-2</v>
      </c>
      <c r="AP142" s="117">
        <f t="shared" si="118"/>
        <v>6.1040695112417012E-2</v>
      </c>
      <c r="AQ142" s="117">
        <f t="shared" si="118"/>
        <v>6.1040695112417012E-2</v>
      </c>
      <c r="AR142" s="117">
        <f t="shared" si="119"/>
        <v>6.1040695112417012E-2</v>
      </c>
      <c r="AS142" s="117">
        <f t="shared" si="114"/>
        <v>6.1040695112417012E-2</v>
      </c>
      <c r="AT142" s="117">
        <f t="shared" si="114"/>
        <v>6.1040695112417012E-2</v>
      </c>
      <c r="AU142" s="117">
        <f t="shared" si="114"/>
        <v>6.1040695112417012E-2</v>
      </c>
      <c r="AV142" s="117">
        <f t="shared" si="114"/>
        <v>6.1040695112417012E-2</v>
      </c>
      <c r="AW142" s="117">
        <f t="shared" si="114"/>
        <v>6.1040695112417012E-2</v>
      </c>
      <c r="AX142" s="117">
        <f t="shared" si="114"/>
        <v>6.1040695112417012E-2</v>
      </c>
      <c r="AY142" s="117">
        <f t="shared" si="114"/>
        <v>6.1040695112417012E-2</v>
      </c>
      <c r="AZ142" s="117">
        <f t="shared" si="114"/>
        <v>6.1040695112417012E-2</v>
      </c>
      <c r="BA142" s="117">
        <f t="shared" si="114"/>
        <v>6.1040695112417012E-2</v>
      </c>
      <c r="BB142" s="117">
        <f t="shared" si="114"/>
        <v>6.1040695112417012E-2</v>
      </c>
      <c r="BC142" s="117">
        <f t="shared" si="114"/>
        <v>6.1040695112417012E-2</v>
      </c>
      <c r="BD142" s="117">
        <f t="shared" si="114"/>
        <v>6.1040695112417012E-2</v>
      </c>
      <c r="BE142" s="117">
        <f t="shared" si="114"/>
        <v>6.1040695112417012E-2</v>
      </c>
      <c r="BF142" s="117">
        <f t="shared" si="114"/>
        <v>6.1040695112417012E-2</v>
      </c>
      <c r="BG142" s="117">
        <f t="shared" si="114"/>
        <v>6.1040695112417012E-2</v>
      </c>
      <c r="BH142" s="117">
        <f t="shared" si="114"/>
        <v>6.1040695112417012E-2</v>
      </c>
      <c r="BI142" s="117">
        <f t="shared" si="114"/>
        <v>6.1040695112417012E-2</v>
      </c>
      <c r="BJ142" s="117">
        <f t="shared" si="114"/>
        <v>6.1040695112417012E-2</v>
      </c>
      <c r="BK142" s="117">
        <f t="shared" si="114"/>
        <v>6.1040695112417012E-2</v>
      </c>
    </row>
    <row r="143" spans="1:63" x14ac:dyDescent="0.35">
      <c r="A143" s="112"/>
      <c r="B143" s="114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115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  <c r="AT143" s="117"/>
      <c r="AU143" s="117"/>
      <c r="AV143" s="117"/>
      <c r="AW143" s="117"/>
      <c r="AX143" s="117"/>
      <c r="AY143" s="117"/>
      <c r="AZ143" s="117"/>
      <c r="BA143" s="117"/>
      <c r="BB143" s="117"/>
      <c r="BC143" s="117"/>
      <c r="BD143" s="117"/>
      <c r="BE143" s="117"/>
      <c r="BF143" s="117"/>
      <c r="BG143" s="117"/>
      <c r="BH143" s="117"/>
      <c r="BI143" s="117"/>
      <c r="BJ143" s="117"/>
      <c r="BK143" s="117"/>
    </row>
    <row r="144" spans="1:63" x14ac:dyDescent="0.35">
      <c r="A144" s="111" t="s">
        <v>5</v>
      </c>
      <c r="B144" s="114">
        <f>'Initial demand info'!F16</f>
        <v>272762.75125000003</v>
      </c>
      <c r="C144" s="115">
        <f t="shared" ref="C144:F144" si="120">B144+($G144-$B144)/5</f>
        <v>277058.00100000005</v>
      </c>
      <c r="D144" s="115">
        <f t="shared" si="120"/>
        <v>281353.25075000006</v>
      </c>
      <c r="E144" s="115">
        <f t="shared" si="120"/>
        <v>285648.50050000008</v>
      </c>
      <c r="F144" s="115">
        <f t="shared" si="120"/>
        <v>289943.7502500001</v>
      </c>
      <c r="G144" s="116">
        <f>G105</f>
        <v>294239</v>
      </c>
      <c r="H144" s="115">
        <f>G144+($L144-$G144)/5</f>
        <v>292843.40000000002</v>
      </c>
      <c r="I144" s="115">
        <f>H144+($L144-$G144)/5</f>
        <v>291447.80000000005</v>
      </c>
      <c r="J144" s="115">
        <f>I144+($L144-$G144)/5</f>
        <v>290052.20000000007</v>
      </c>
      <c r="K144" s="115">
        <f>J144+($L144-$G144)/5</f>
        <v>288656.60000000009</v>
      </c>
      <c r="L144" s="116">
        <f>L105</f>
        <v>287261</v>
      </c>
      <c r="M144" s="122">
        <f>L144+($L144-$G144)/5</f>
        <v>285865.40000000002</v>
      </c>
      <c r="N144" s="122">
        <f t="shared" ref="N144:AF158" si="121">M144+($L144-$G144)/5</f>
        <v>284469.80000000005</v>
      </c>
      <c r="O144" s="122">
        <f t="shared" si="121"/>
        <v>283074.20000000007</v>
      </c>
      <c r="P144" s="122">
        <f t="shared" si="121"/>
        <v>281678.60000000009</v>
      </c>
      <c r="Q144" s="122">
        <f t="shared" si="121"/>
        <v>280283.00000000012</v>
      </c>
      <c r="R144" s="122">
        <f t="shared" si="121"/>
        <v>278887.40000000014</v>
      </c>
      <c r="S144" s="122">
        <f t="shared" si="121"/>
        <v>277491.80000000016</v>
      </c>
      <c r="T144" s="122">
        <f t="shared" si="121"/>
        <v>276096.20000000019</v>
      </c>
      <c r="U144" s="122">
        <f t="shared" si="121"/>
        <v>274700.60000000021</v>
      </c>
      <c r="V144" s="122">
        <f t="shared" si="121"/>
        <v>273305.00000000023</v>
      </c>
      <c r="W144" s="122">
        <f>V144</f>
        <v>273305.00000000023</v>
      </c>
      <c r="X144" s="122">
        <f t="shared" ref="X144:AF144" si="122">W144</f>
        <v>273305.00000000023</v>
      </c>
      <c r="Y144" s="122">
        <f t="shared" si="122"/>
        <v>273305.00000000023</v>
      </c>
      <c r="Z144" s="122">
        <f t="shared" si="122"/>
        <v>273305.00000000023</v>
      </c>
      <c r="AA144" s="122">
        <f t="shared" si="122"/>
        <v>273305.00000000023</v>
      </c>
      <c r="AB144" s="122">
        <f t="shared" si="122"/>
        <v>273305.00000000023</v>
      </c>
      <c r="AC144" s="122">
        <f t="shared" si="122"/>
        <v>273305.00000000023</v>
      </c>
      <c r="AD144" s="122">
        <f t="shared" si="122"/>
        <v>273305.00000000023</v>
      </c>
      <c r="AE144" s="122">
        <f t="shared" si="122"/>
        <v>273305.00000000023</v>
      </c>
      <c r="AF144" s="122">
        <f t="shared" si="122"/>
        <v>273305.00000000023</v>
      </c>
      <c r="AG144" s="121">
        <f>SUM(AG145:AG150)</f>
        <v>1</v>
      </c>
      <c r="AH144" s="121">
        <f t="shared" ref="AH144" si="123">SUM(AH145:AH150)</f>
        <v>1</v>
      </c>
      <c r="AI144" s="121">
        <f t="shared" ref="AI144" si="124">SUM(AI145:AI150)</f>
        <v>1</v>
      </c>
      <c r="AJ144" s="121">
        <f t="shared" ref="AJ144" si="125">SUM(AJ145:AJ150)</f>
        <v>1</v>
      </c>
      <c r="AK144" s="121">
        <f t="shared" ref="AK144" si="126">SUM(AK145:AK150)</f>
        <v>1</v>
      </c>
      <c r="AL144" s="121">
        <f t="shared" ref="AL144" si="127">SUM(AL145:AL150)</f>
        <v>1</v>
      </c>
      <c r="AM144" s="121">
        <f t="shared" ref="AM144" si="128">SUM(AM145:AM150)</f>
        <v>1</v>
      </c>
      <c r="AN144" s="121">
        <f t="shared" ref="AN144" si="129">SUM(AN145:AN150)</f>
        <v>1</v>
      </c>
      <c r="AO144" s="121">
        <f t="shared" ref="AO144" si="130">SUM(AO145:AO150)</f>
        <v>1</v>
      </c>
      <c r="AP144" s="121">
        <f t="shared" ref="AP144" si="131">SUM(AP145:AP150)</f>
        <v>1</v>
      </c>
      <c r="AQ144" s="121">
        <f t="shared" ref="AQ144" si="132">SUM(AQ145:AQ150)</f>
        <v>1</v>
      </c>
      <c r="AR144" s="117">
        <f t="shared" si="119"/>
        <v>1</v>
      </c>
      <c r="AS144" s="117">
        <f t="shared" si="114"/>
        <v>1</v>
      </c>
      <c r="AT144" s="117">
        <f t="shared" si="114"/>
        <v>1</v>
      </c>
      <c r="AU144" s="117">
        <f t="shared" si="114"/>
        <v>1</v>
      </c>
      <c r="AV144" s="117">
        <f t="shared" si="114"/>
        <v>1</v>
      </c>
      <c r="AW144" s="117">
        <f t="shared" si="114"/>
        <v>1</v>
      </c>
      <c r="AX144" s="117">
        <f t="shared" si="114"/>
        <v>1</v>
      </c>
      <c r="AY144" s="117">
        <f t="shared" si="114"/>
        <v>1</v>
      </c>
      <c r="AZ144" s="117">
        <f t="shared" si="114"/>
        <v>1</v>
      </c>
      <c r="BA144" s="117">
        <f t="shared" si="114"/>
        <v>1</v>
      </c>
      <c r="BB144" s="117">
        <f t="shared" si="114"/>
        <v>1</v>
      </c>
      <c r="BC144" s="117">
        <f t="shared" si="114"/>
        <v>1</v>
      </c>
      <c r="BD144" s="117">
        <f t="shared" si="114"/>
        <v>1</v>
      </c>
      <c r="BE144" s="117">
        <f t="shared" si="114"/>
        <v>1</v>
      </c>
      <c r="BF144" s="117">
        <f t="shared" si="114"/>
        <v>1</v>
      </c>
      <c r="BG144" s="117">
        <f t="shared" si="114"/>
        <v>1</v>
      </c>
      <c r="BH144" s="117">
        <f t="shared" si="114"/>
        <v>1</v>
      </c>
      <c r="BI144" s="117">
        <f t="shared" si="114"/>
        <v>1</v>
      </c>
      <c r="BJ144" s="117">
        <f t="shared" si="114"/>
        <v>1</v>
      </c>
      <c r="BK144" s="117">
        <f t="shared" si="114"/>
        <v>1</v>
      </c>
    </row>
    <row r="145" spans="1:63" x14ac:dyDescent="0.35">
      <c r="A145" s="112" t="s">
        <v>13</v>
      </c>
      <c r="B145" s="114">
        <f>'Initial demand info'!F17</f>
        <v>5060.1781099999998</v>
      </c>
      <c r="C145" s="115">
        <f t="shared" ref="C145:L150" si="133">C$105*$AG145</f>
        <v>5139.8617495817552</v>
      </c>
      <c r="D145" s="115">
        <f t="shared" si="133"/>
        <v>5219.5453891635116</v>
      </c>
      <c r="E145" s="115">
        <f t="shared" si="133"/>
        <v>5299.229028745267</v>
      </c>
      <c r="F145" s="115">
        <f t="shared" si="133"/>
        <v>5378.9126683270224</v>
      </c>
      <c r="G145" s="115">
        <f t="shared" si="133"/>
        <v>5458.596307908776</v>
      </c>
      <c r="H145" s="115">
        <f t="shared" si="133"/>
        <v>5432.7057325352962</v>
      </c>
      <c r="I145" s="115">
        <f t="shared" si="133"/>
        <v>5406.8151571618164</v>
      </c>
      <c r="J145" s="115">
        <f t="shared" si="133"/>
        <v>5380.9245817883357</v>
      </c>
      <c r="K145" s="115">
        <f t="shared" si="133"/>
        <v>5355.0340064148559</v>
      </c>
      <c r="L145" s="115">
        <f t="shared" si="133"/>
        <v>5329.1434310413742</v>
      </c>
      <c r="M145" s="122">
        <f t="shared" ref="M145:AB168" si="134">L145+($L145-$G145)/5</f>
        <v>5303.2528556678935</v>
      </c>
      <c r="N145" s="122">
        <f t="shared" si="134"/>
        <v>5277.3622802944128</v>
      </c>
      <c r="O145" s="122">
        <f t="shared" si="134"/>
        <v>5251.4717049209321</v>
      </c>
      <c r="P145" s="122">
        <f t="shared" si="134"/>
        <v>5225.5811295474514</v>
      </c>
      <c r="Q145" s="122">
        <f t="shared" si="134"/>
        <v>5199.6905541739707</v>
      </c>
      <c r="R145" s="122">
        <f t="shared" si="134"/>
        <v>5173.79997880049</v>
      </c>
      <c r="S145" s="122">
        <f t="shared" si="134"/>
        <v>5147.9094034270092</v>
      </c>
      <c r="T145" s="122">
        <f t="shared" si="134"/>
        <v>5122.0188280535285</v>
      </c>
      <c r="U145" s="122">
        <f t="shared" si="134"/>
        <v>5096.1282526800478</v>
      </c>
      <c r="V145" s="122">
        <f t="shared" si="134"/>
        <v>5070.2376773065671</v>
      </c>
      <c r="W145" s="122">
        <f t="shared" si="134"/>
        <v>5044.3471019330864</v>
      </c>
      <c r="X145" s="122">
        <f t="shared" si="134"/>
        <v>5018.4565265596057</v>
      </c>
      <c r="Y145" s="122">
        <f t="shared" si="134"/>
        <v>4992.5659511861249</v>
      </c>
      <c r="Z145" s="122">
        <f t="shared" si="134"/>
        <v>4966.6753758126442</v>
      </c>
      <c r="AA145" s="122">
        <f t="shared" si="134"/>
        <v>4940.7848004391635</v>
      </c>
      <c r="AB145" s="122">
        <f t="shared" si="134"/>
        <v>4914.8942250656828</v>
      </c>
      <c r="AC145" s="122">
        <f t="shared" si="121"/>
        <v>4889.0036496922021</v>
      </c>
      <c r="AD145" s="122">
        <f t="shared" si="121"/>
        <v>4863.1130743187214</v>
      </c>
      <c r="AE145" s="122">
        <f t="shared" si="121"/>
        <v>4837.2224989452407</v>
      </c>
      <c r="AF145" s="122">
        <f t="shared" si="121"/>
        <v>4811.3319235717599</v>
      </c>
      <c r="AG145" s="117">
        <f t="shared" ref="AG145:AQ150" si="135">B145/B$105</f>
        <v>1.8551573067842046E-2</v>
      </c>
      <c r="AH145" s="117">
        <f t="shared" si="135"/>
        <v>1.8551573067842046E-2</v>
      </c>
      <c r="AI145" s="117">
        <f t="shared" si="135"/>
        <v>1.8551573067842046E-2</v>
      </c>
      <c r="AJ145" s="117">
        <f t="shared" si="135"/>
        <v>1.8551573067842046E-2</v>
      </c>
      <c r="AK145" s="117">
        <f t="shared" si="135"/>
        <v>1.8551573067842046E-2</v>
      </c>
      <c r="AL145" s="117">
        <f t="shared" si="135"/>
        <v>1.8551573067842046E-2</v>
      </c>
      <c r="AM145" s="117">
        <f t="shared" si="135"/>
        <v>1.8551573067842046E-2</v>
      </c>
      <c r="AN145" s="117">
        <f t="shared" si="135"/>
        <v>1.8551573067842046E-2</v>
      </c>
      <c r="AO145" s="117">
        <f t="shared" si="135"/>
        <v>1.8551573067842046E-2</v>
      </c>
      <c r="AP145" s="117">
        <f t="shared" si="135"/>
        <v>1.8551573067842046E-2</v>
      </c>
      <c r="AQ145" s="117">
        <f t="shared" si="135"/>
        <v>1.8551573067842046E-2</v>
      </c>
      <c r="AR145" s="117">
        <f t="shared" si="119"/>
        <v>1.8551573067842046E-2</v>
      </c>
      <c r="AS145" s="117">
        <f t="shared" si="114"/>
        <v>1.8551573067842046E-2</v>
      </c>
      <c r="AT145" s="117">
        <f t="shared" si="114"/>
        <v>1.8551573067842046E-2</v>
      </c>
      <c r="AU145" s="117">
        <f t="shared" si="114"/>
        <v>1.8551573067842046E-2</v>
      </c>
      <c r="AV145" s="117">
        <f t="shared" si="114"/>
        <v>1.8551573067842046E-2</v>
      </c>
      <c r="AW145" s="117">
        <f t="shared" si="114"/>
        <v>1.8551573067842046E-2</v>
      </c>
      <c r="AX145" s="117">
        <f t="shared" si="114"/>
        <v>1.8551573067842046E-2</v>
      </c>
      <c r="AY145" s="117">
        <f t="shared" si="114"/>
        <v>1.8551573067842046E-2</v>
      </c>
      <c r="AZ145" s="117">
        <f t="shared" si="114"/>
        <v>1.8551573067842046E-2</v>
      </c>
      <c r="BA145" s="117">
        <f t="shared" si="114"/>
        <v>1.8551573067842046E-2</v>
      </c>
      <c r="BB145" s="117">
        <f t="shared" si="114"/>
        <v>1.8551573067842046E-2</v>
      </c>
      <c r="BC145" s="117">
        <f t="shared" si="114"/>
        <v>1.8551573067842046E-2</v>
      </c>
      <c r="BD145" s="117">
        <f t="shared" si="114"/>
        <v>1.8551573067842046E-2</v>
      </c>
      <c r="BE145" s="117">
        <f t="shared" si="114"/>
        <v>1.8551573067842046E-2</v>
      </c>
      <c r="BF145" s="117">
        <f t="shared" si="114"/>
        <v>1.8551573067842046E-2</v>
      </c>
      <c r="BG145" s="117">
        <f t="shared" si="114"/>
        <v>1.8551573067842046E-2</v>
      </c>
      <c r="BH145" s="117">
        <f t="shared" si="114"/>
        <v>1.8551573067842046E-2</v>
      </c>
      <c r="BI145" s="117">
        <f t="shared" si="114"/>
        <v>1.8551573067842046E-2</v>
      </c>
      <c r="BJ145" s="117">
        <f t="shared" si="114"/>
        <v>1.8551573067842046E-2</v>
      </c>
      <c r="BK145" s="117">
        <f t="shared" si="114"/>
        <v>1.8551573067842046E-2</v>
      </c>
    </row>
    <row r="146" spans="1:63" x14ac:dyDescent="0.35">
      <c r="A146" s="112" t="s">
        <v>12</v>
      </c>
      <c r="B146" s="114">
        <f>'Initial demand info'!F18</f>
        <v>31253.426930000005</v>
      </c>
      <c r="C146" s="115">
        <f t="shared" si="133"/>
        <v>31745.580912142119</v>
      </c>
      <c r="D146" s="115">
        <f t="shared" si="133"/>
        <v>32237.734894284233</v>
      </c>
      <c r="E146" s="115">
        <f t="shared" si="133"/>
        <v>32729.888876426347</v>
      </c>
      <c r="F146" s="115">
        <f t="shared" si="133"/>
        <v>33222.042858568457</v>
      </c>
      <c r="G146" s="115">
        <f t="shared" si="133"/>
        <v>33714.19684071056</v>
      </c>
      <c r="H146" s="115">
        <f t="shared" si="133"/>
        <v>33554.28760668348</v>
      </c>
      <c r="I146" s="115">
        <f t="shared" si="133"/>
        <v>33394.378372656392</v>
      </c>
      <c r="J146" s="115">
        <f t="shared" si="133"/>
        <v>33234.469138629313</v>
      </c>
      <c r="K146" s="115">
        <f t="shared" si="133"/>
        <v>33074.559904602225</v>
      </c>
      <c r="L146" s="115">
        <f t="shared" si="133"/>
        <v>32914.650670575131</v>
      </c>
      <c r="M146" s="122">
        <f t="shared" si="134"/>
        <v>32754.741436548044</v>
      </c>
      <c r="N146" s="122">
        <f t="shared" si="121"/>
        <v>32594.832202520956</v>
      </c>
      <c r="O146" s="122">
        <f t="shared" si="121"/>
        <v>32434.922968493869</v>
      </c>
      <c r="P146" s="122">
        <f t="shared" si="121"/>
        <v>32275.013734466782</v>
      </c>
      <c r="Q146" s="122">
        <f t="shared" si="121"/>
        <v>32115.104500439695</v>
      </c>
      <c r="R146" s="122">
        <f t="shared" si="121"/>
        <v>31955.195266412607</v>
      </c>
      <c r="S146" s="122">
        <f t="shared" si="121"/>
        <v>31795.28603238552</v>
      </c>
      <c r="T146" s="122">
        <f t="shared" si="121"/>
        <v>31635.376798358433</v>
      </c>
      <c r="U146" s="122">
        <f t="shared" si="121"/>
        <v>31475.467564331346</v>
      </c>
      <c r="V146" s="122">
        <f t="shared" si="121"/>
        <v>31315.558330304259</v>
      </c>
      <c r="W146" s="122">
        <f t="shared" si="121"/>
        <v>31155.649096277171</v>
      </c>
      <c r="X146" s="122">
        <f t="shared" si="121"/>
        <v>30995.739862250084</v>
      </c>
      <c r="Y146" s="122">
        <f t="shared" si="121"/>
        <v>30835.830628222997</v>
      </c>
      <c r="Z146" s="122">
        <f t="shared" si="121"/>
        <v>30675.92139419591</v>
      </c>
      <c r="AA146" s="122">
        <f t="shared" si="121"/>
        <v>30516.012160168822</v>
      </c>
      <c r="AB146" s="122">
        <f t="shared" si="121"/>
        <v>30356.102926141735</v>
      </c>
      <c r="AC146" s="122">
        <f t="shared" si="121"/>
        <v>30196.193692114648</v>
      </c>
      <c r="AD146" s="122">
        <f t="shared" si="121"/>
        <v>30036.284458087561</v>
      </c>
      <c r="AE146" s="122">
        <f t="shared" si="121"/>
        <v>29876.375224060474</v>
      </c>
      <c r="AF146" s="122">
        <f t="shared" si="121"/>
        <v>29716.465990033386</v>
      </c>
      <c r="AG146" s="117">
        <f t="shared" si="135"/>
        <v>0.11458099314064607</v>
      </c>
      <c r="AH146" s="117">
        <f t="shared" si="135"/>
        <v>0.11458099314064607</v>
      </c>
      <c r="AI146" s="117">
        <f t="shared" si="135"/>
        <v>0.11458099314064607</v>
      </c>
      <c r="AJ146" s="117">
        <f t="shared" si="135"/>
        <v>0.11458099314064607</v>
      </c>
      <c r="AK146" s="117">
        <f t="shared" si="135"/>
        <v>0.11458099314064607</v>
      </c>
      <c r="AL146" s="117">
        <f t="shared" si="135"/>
        <v>0.11458099314064607</v>
      </c>
      <c r="AM146" s="117">
        <f t="shared" si="135"/>
        <v>0.11458099314064608</v>
      </c>
      <c r="AN146" s="117">
        <f t="shared" si="135"/>
        <v>0.11458099314064607</v>
      </c>
      <c r="AO146" s="117">
        <f t="shared" si="135"/>
        <v>0.11458099314064608</v>
      </c>
      <c r="AP146" s="117">
        <f t="shared" si="135"/>
        <v>0.11458099314064607</v>
      </c>
      <c r="AQ146" s="117">
        <f t="shared" si="135"/>
        <v>0.11458099314064607</v>
      </c>
      <c r="AR146" s="117">
        <f t="shared" si="119"/>
        <v>0.11458099314064607</v>
      </c>
      <c r="AS146" s="117">
        <f t="shared" si="114"/>
        <v>0.11458099314064607</v>
      </c>
      <c r="AT146" s="117">
        <f t="shared" si="114"/>
        <v>0.11458099314064607</v>
      </c>
      <c r="AU146" s="117">
        <f t="shared" si="114"/>
        <v>0.11458099314064607</v>
      </c>
      <c r="AV146" s="117">
        <f t="shared" si="114"/>
        <v>0.11458099314064607</v>
      </c>
      <c r="AW146" s="117">
        <f t="shared" si="114"/>
        <v>0.11458099314064607</v>
      </c>
      <c r="AX146" s="117">
        <f t="shared" si="114"/>
        <v>0.11458099314064607</v>
      </c>
      <c r="AY146" s="117">
        <f t="shared" si="114"/>
        <v>0.11458099314064607</v>
      </c>
      <c r="AZ146" s="117">
        <f t="shared" si="114"/>
        <v>0.11458099314064607</v>
      </c>
      <c r="BA146" s="117">
        <f t="shared" si="114"/>
        <v>0.11458099314064607</v>
      </c>
      <c r="BB146" s="117">
        <f t="shared" si="114"/>
        <v>0.11458099314064607</v>
      </c>
      <c r="BC146" s="117">
        <f t="shared" si="114"/>
        <v>0.11458099314064607</v>
      </c>
      <c r="BD146" s="117">
        <f t="shared" si="114"/>
        <v>0.11458099314064607</v>
      </c>
      <c r="BE146" s="117">
        <f t="shared" si="114"/>
        <v>0.11458099314064607</v>
      </c>
      <c r="BF146" s="117">
        <f t="shared" si="114"/>
        <v>0.11458099314064607</v>
      </c>
      <c r="BG146" s="117">
        <f t="shared" si="114"/>
        <v>0.11458099314064607</v>
      </c>
      <c r="BH146" s="117">
        <f t="shared" si="114"/>
        <v>0.11458099314064607</v>
      </c>
      <c r="BI146" s="117">
        <f t="shared" si="114"/>
        <v>0.11458099314064607</v>
      </c>
      <c r="BJ146" s="117">
        <f t="shared" si="114"/>
        <v>0.11458099314064607</v>
      </c>
      <c r="BK146" s="117">
        <f t="shared" si="114"/>
        <v>0.11458099314064607</v>
      </c>
    </row>
    <row r="147" spans="1:63" x14ac:dyDescent="0.35">
      <c r="A147" s="112" t="s">
        <v>11</v>
      </c>
      <c r="B147" s="114">
        <f>'Initial demand info'!F19</f>
        <v>117304.54125000001</v>
      </c>
      <c r="C147" s="115">
        <f t="shared" si="133"/>
        <v>119151.75938799322</v>
      </c>
      <c r="D147" s="115">
        <f t="shared" si="133"/>
        <v>120998.97752598643</v>
      </c>
      <c r="E147" s="115">
        <f t="shared" si="133"/>
        <v>122846.19566397963</v>
      </c>
      <c r="F147" s="115">
        <f t="shared" si="133"/>
        <v>124693.41380197284</v>
      </c>
      <c r="G147" s="115">
        <f t="shared" si="133"/>
        <v>126540.631939966</v>
      </c>
      <c r="H147" s="115">
        <f t="shared" si="133"/>
        <v>125940.43921930213</v>
      </c>
      <c r="I147" s="115">
        <f t="shared" si="133"/>
        <v>125340.24649863827</v>
      </c>
      <c r="J147" s="115">
        <f t="shared" si="133"/>
        <v>124740.05377797442</v>
      </c>
      <c r="K147" s="115">
        <f t="shared" si="133"/>
        <v>124139.86105731055</v>
      </c>
      <c r="L147" s="115">
        <f t="shared" si="133"/>
        <v>123539.66833664665</v>
      </c>
      <c r="M147" s="122">
        <f t="shared" si="134"/>
        <v>122939.47561598278</v>
      </c>
      <c r="N147" s="122">
        <f t="shared" si="121"/>
        <v>122339.28289531892</v>
      </c>
      <c r="O147" s="122">
        <f t="shared" si="121"/>
        <v>121739.09017465505</v>
      </c>
      <c r="P147" s="122">
        <f t="shared" si="121"/>
        <v>121138.89745399119</v>
      </c>
      <c r="Q147" s="122">
        <f t="shared" si="121"/>
        <v>120538.70473332732</v>
      </c>
      <c r="R147" s="122">
        <f t="shared" si="121"/>
        <v>119938.51201266346</v>
      </c>
      <c r="S147" s="122">
        <f t="shared" si="121"/>
        <v>119338.31929199959</v>
      </c>
      <c r="T147" s="122">
        <f t="shared" si="121"/>
        <v>118738.12657133573</v>
      </c>
      <c r="U147" s="122">
        <f t="shared" si="121"/>
        <v>118137.93385067186</v>
      </c>
      <c r="V147" s="122">
        <f t="shared" si="121"/>
        <v>117537.741130008</v>
      </c>
      <c r="W147" s="122">
        <f t="shared" si="121"/>
        <v>116937.54840934413</v>
      </c>
      <c r="X147" s="122">
        <f t="shared" si="121"/>
        <v>116337.35568868027</v>
      </c>
      <c r="Y147" s="122">
        <f t="shared" si="121"/>
        <v>115737.1629680164</v>
      </c>
      <c r="Z147" s="122">
        <f t="shared" si="121"/>
        <v>115136.97024735254</v>
      </c>
      <c r="AA147" s="122">
        <f t="shared" si="121"/>
        <v>114536.77752668867</v>
      </c>
      <c r="AB147" s="122">
        <f t="shared" si="121"/>
        <v>113936.58480602481</v>
      </c>
      <c r="AC147" s="122">
        <f t="shared" si="121"/>
        <v>113336.39208536095</v>
      </c>
      <c r="AD147" s="122">
        <f t="shared" si="121"/>
        <v>112736.19936469708</v>
      </c>
      <c r="AE147" s="122">
        <f t="shared" si="121"/>
        <v>112136.00664403322</v>
      </c>
      <c r="AF147" s="122">
        <f t="shared" si="121"/>
        <v>111535.81392336935</v>
      </c>
      <c r="AG147" s="117">
        <f t="shared" si="135"/>
        <v>0.43006070554877496</v>
      </c>
      <c r="AH147" s="117">
        <f t="shared" si="135"/>
        <v>0.43006070554877496</v>
      </c>
      <c r="AI147" s="117">
        <f t="shared" si="135"/>
        <v>0.43006070554877496</v>
      </c>
      <c r="AJ147" s="117">
        <f t="shared" si="135"/>
        <v>0.43006070554877496</v>
      </c>
      <c r="AK147" s="117">
        <f t="shared" si="135"/>
        <v>0.43006070554877496</v>
      </c>
      <c r="AL147" s="117">
        <f t="shared" si="135"/>
        <v>0.43006070554877496</v>
      </c>
      <c r="AM147" s="117">
        <f t="shared" si="135"/>
        <v>0.43006070554877496</v>
      </c>
      <c r="AN147" s="117">
        <f t="shared" si="135"/>
        <v>0.43006070554877496</v>
      </c>
      <c r="AO147" s="117">
        <f t="shared" si="135"/>
        <v>0.43006070554877496</v>
      </c>
      <c r="AP147" s="117">
        <f t="shared" si="135"/>
        <v>0.43006070554877496</v>
      </c>
      <c r="AQ147" s="117">
        <f t="shared" si="135"/>
        <v>0.43006070554877496</v>
      </c>
      <c r="AR147" s="117">
        <f t="shared" si="119"/>
        <v>0.43006070554877496</v>
      </c>
      <c r="AS147" s="117">
        <f t="shared" si="114"/>
        <v>0.43006070554877496</v>
      </c>
      <c r="AT147" s="117">
        <f t="shared" si="114"/>
        <v>0.43006070554877496</v>
      </c>
      <c r="AU147" s="117">
        <f t="shared" si="114"/>
        <v>0.43006070554877496</v>
      </c>
      <c r="AV147" s="117">
        <f t="shared" si="114"/>
        <v>0.43006070554877496</v>
      </c>
      <c r="AW147" s="117">
        <f t="shared" si="114"/>
        <v>0.43006070554877496</v>
      </c>
      <c r="AX147" s="117">
        <f t="shared" si="114"/>
        <v>0.43006070554877496</v>
      </c>
      <c r="AY147" s="117">
        <f t="shared" si="114"/>
        <v>0.43006070554877496</v>
      </c>
      <c r="AZ147" s="117">
        <f t="shared" si="114"/>
        <v>0.43006070554877496</v>
      </c>
      <c r="BA147" s="117">
        <f t="shared" si="114"/>
        <v>0.43006070554877496</v>
      </c>
      <c r="BB147" s="117">
        <f t="shared" si="114"/>
        <v>0.43006070554877496</v>
      </c>
      <c r="BC147" s="117">
        <f t="shared" si="114"/>
        <v>0.43006070554877496</v>
      </c>
      <c r="BD147" s="117">
        <f t="shared" si="114"/>
        <v>0.43006070554877496</v>
      </c>
      <c r="BE147" s="117">
        <f t="shared" si="114"/>
        <v>0.43006070554877496</v>
      </c>
      <c r="BF147" s="117">
        <f t="shared" si="114"/>
        <v>0.43006070554877496</v>
      </c>
      <c r="BG147" s="117">
        <f t="shared" si="114"/>
        <v>0.43006070554877496</v>
      </c>
      <c r="BH147" s="117">
        <f t="shared" si="114"/>
        <v>0.43006070554877496</v>
      </c>
      <c r="BI147" s="117">
        <f t="shared" si="114"/>
        <v>0.43006070554877496</v>
      </c>
      <c r="BJ147" s="117">
        <f t="shared" si="114"/>
        <v>0.43006070554877496</v>
      </c>
      <c r="BK147" s="117">
        <f t="shared" si="114"/>
        <v>0.43006070554877496</v>
      </c>
    </row>
    <row r="148" spans="1:63" x14ac:dyDescent="0.35">
      <c r="A148" s="112" t="s">
        <v>9</v>
      </c>
      <c r="B148" s="114">
        <f>'Initial demand info'!F20</f>
        <v>93985.972570000013</v>
      </c>
      <c r="C148" s="115">
        <f t="shared" si="133"/>
        <v>95465.988530151386</v>
      </c>
      <c r="D148" s="115">
        <f t="shared" si="133"/>
        <v>96946.004490302774</v>
      </c>
      <c r="E148" s="115">
        <f t="shared" si="133"/>
        <v>98426.020450454147</v>
      </c>
      <c r="F148" s="115">
        <f t="shared" si="133"/>
        <v>99906.036410605535</v>
      </c>
      <c r="G148" s="115">
        <f t="shared" si="133"/>
        <v>101386.05237075686</v>
      </c>
      <c r="H148" s="115">
        <f t="shared" si="133"/>
        <v>100905.1699089193</v>
      </c>
      <c r="I148" s="115">
        <f t="shared" si="133"/>
        <v>100424.28744708172</v>
      </c>
      <c r="J148" s="115">
        <f t="shared" si="133"/>
        <v>99943.404985244153</v>
      </c>
      <c r="K148" s="115">
        <f t="shared" si="133"/>
        <v>99462.522523406573</v>
      </c>
      <c r="L148" s="115">
        <f t="shared" si="133"/>
        <v>98981.640061568964</v>
      </c>
      <c r="M148" s="122">
        <f t="shared" si="134"/>
        <v>98500.757599731383</v>
      </c>
      <c r="N148" s="122">
        <f t="shared" si="121"/>
        <v>98019.875137893803</v>
      </c>
      <c r="O148" s="122">
        <f t="shared" si="121"/>
        <v>97538.992676056223</v>
      </c>
      <c r="P148" s="122">
        <f t="shared" si="121"/>
        <v>97058.110214218643</v>
      </c>
      <c r="Q148" s="122">
        <f t="shared" si="121"/>
        <v>96577.227752381063</v>
      </c>
      <c r="R148" s="122">
        <f t="shared" si="121"/>
        <v>96096.345290543482</v>
      </c>
      <c r="S148" s="122">
        <f t="shared" si="121"/>
        <v>95615.462828705902</v>
      </c>
      <c r="T148" s="122">
        <f t="shared" si="121"/>
        <v>95134.580366868322</v>
      </c>
      <c r="U148" s="122">
        <f t="shared" si="121"/>
        <v>94653.697905030742</v>
      </c>
      <c r="V148" s="122">
        <f t="shared" si="121"/>
        <v>94172.815443193162</v>
      </c>
      <c r="W148" s="122">
        <f t="shared" si="121"/>
        <v>93691.932981355581</v>
      </c>
      <c r="X148" s="122">
        <f t="shared" si="121"/>
        <v>93211.050519518001</v>
      </c>
      <c r="Y148" s="122">
        <f t="shared" si="121"/>
        <v>92730.168057680421</v>
      </c>
      <c r="Z148" s="122">
        <f t="shared" si="121"/>
        <v>92249.285595842841</v>
      </c>
      <c r="AA148" s="122">
        <f t="shared" si="121"/>
        <v>91768.403134005261</v>
      </c>
      <c r="AB148" s="122">
        <f t="shared" si="121"/>
        <v>91287.52067216768</v>
      </c>
      <c r="AC148" s="122">
        <f t="shared" si="121"/>
        <v>90806.6382103301</v>
      </c>
      <c r="AD148" s="122">
        <f t="shared" si="121"/>
        <v>90325.75574849252</v>
      </c>
      <c r="AE148" s="122">
        <f t="shared" si="121"/>
        <v>89844.87328665494</v>
      </c>
      <c r="AF148" s="122">
        <f t="shared" si="121"/>
        <v>89363.99082481736</v>
      </c>
      <c r="AG148" s="117">
        <f t="shared" si="135"/>
        <v>0.3445704083101046</v>
      </c>
      <c r="AH148" s="117">
        <f t="shared" si="135"/>
        <v>0.3445704083101046</v>
      </c>
      <c r="AI148" s="117">
        <f t="shared" si="135"/>
        <v>0.3445704083101046</v>
      </c>
      <c r="AJ148" s="117">
        <f t="shared" si="135"/>
        <v>0.3445704083101046</v>
      </c>
      <c r="AK148" s="117">
        <f t="shared" si="135"/>
        <v>0.3445704083101046</v>
      </c>
      <c r="AL148" s="117">
        <f t="shared" si="135"/>
        <v>0.3445704083101046</v>
      </c>
      <c r="AM148" s="117">
        <f t="shared" si="135"/>
        <v>0.3445704083101046</v>
      </c>
      <c r="AN148" s="117">
        <f t="shared" si="135"/>
        <v>0.3445704083101046</v>
      </c>
      <c r="AO148" s="117">
        <f t="shared" si="135"/>
        <v>0.3445704083101046</v>
      </c>
      <c r="AP148" s="117">
        <f t="shared" si="135"/>
        <v>0.3445704083101046</v>
      </c>
      <c r="AQ148" s="117">
        <f t="shared" si="135"/>
        <v>0.3445704083101046</v>
      </c>
      <c r="AR148" s="117">
        <f t="shared" si="119"/>
        <v>0.3445704083101046</v>
      </c>
      <c r="AS148" s="117">
        <f t="shared" si="114"/>
        <v>0.3445704083101046</v>
      </c>
      <c r="AT148" s="117">
        <f t="shared" si="114"/>
        <v>0.3445704083101046</v>
      </c>
      <c r="AU148" s="117">
        <f t="shared" si="114"/>
        <v>0.3445704083101046</v>
      </c>
      <c r="AV148" s="117">
        <f t="shared" si="114"/>
        <v>0.3445704083101046</v>
      </c>
      <c r="AW148" s="117">
        <f t="shared" si="114"/>
        <v>0.3445704083101046</v>
      </c>
      <c r="AX148" s="117">
        <f t="shared" si="114"/>
        <v>0.3445704083101046</v>
      </c>
      <c r="AY148" s="117">
        <f t="shared" si="114"/>
        <v>0.3445704083101046</v>
      </c>
      <c r="AZ148" s="117">
        <f t="shared" si="114"/>
        <v>0.3445704083101046</v>
      </c>
      <c r="BA148" s="117">
        <f t="shared" si="114"/>
        <v>0.3445704083101046</v>
      </c>
      <c r="BB148" s="117">
        <f t="shared" si="114"/>
        <v>0.3445704083101046</v>
      </c>
      <c r="BC148" s="117">
        <f t="shared" si="114"/>
        <v>0.3445704083101046</v>
      </c>
      <c r="BD148" s="117">
        <f t="shared" si="114"/>
        <v>0.3445704083101046</v>
      </c>
      <c r="BE148" s="117">
        <f t="shared" si="114"/>
        <v>0.3445704083101046</v>
      </c>
      <c r="BF148" s="117">
        <f t="shared" si="114"/>
        <v>0.3445704083101046</v>
      </c>
      <c r="BG148" s="117">
        <f t="shared" si="114"/>
        <v>0.3445704083101046</v>
      </c>
      <c r="BH148" s="117">
        <f t="shared" si="114"/>
        <v>0.3445704083101046</v>
      </c>
      <c r="BI148" s="117">
        <f t="shared" si="114"/>
        <v>0.3445704083101046</v>
      </c>
      <c r="BJ148" s="117">
        <f t="shared" si="114"/>
        <v>0.3445704083101046</v>
      </c>
      <c r="BK148" s="117">
        <f t="shared" si="114"/>
        <v>0.3445704083101046</v>
      </c>
    </row>
    <row r="149" spans="1:63" x14ac:dyDescent="0.35">
      <c r="A149" s="112" t="s">
        <v>10</v>
      </c>
      <c r="B149" s="114">
        <f>'Initial demand info'!F21</f>
        <v>20397.752330000003</v>
      </c>
      <c r="C149" s="115">
        <f t="shared" si="133"/>
        <v>20718.959826971215</v>
      </c>
      <c r="D149" s="115">
        <f t="shared" si="133"/>
        <v>21040.167323942431</v>
      </c>
      <c r="E149" s="115">
        <f t="shared" si="133"/>
        <v>21361.374820913647</v>
      </c>
      <c r="F149" s="115">
        <f t="shared" si="133"/>
        <v>21682.582317884862</v>
      </c>
      <c r="G149" s="115">
        <f t="shared" si="133"/>
        <v>22003.789814856071</v>
      </c>
      <c r="H149" s="115">
        <f t="shared" si="133"/>
        <v>21899.424013362684</v>
      </c>
      <c r="I149" s="115">
        <f t="shared" si="133"/>
        <v>21795.058211869295</v>
      </c>
      <c r="J149" s="115">
        <f t="shared" si="133"/>
        <v>21690.692410375908</v>
      </c>
      <c r="K149" s="115">
        <f t="shared" si="133"/>
        <v>21586.326608882522</v>
      </c>
      <c r="L149" s="115">
        <f t="shared" si="133"/>
        <v>21481.960807389129</v>
      </c>
      <c r="M149" s="122">
        <f t="shared" si="134"/>
        <v>21377.595005895739</v>
      </c>
      <c r="N149" s="122">
        <f t="shared" si="121"/>
        <v>21273.229204402349</v>
      </c>
      <c r="O149" s="122">
        <f t="shared" si="121"/>
        <v>21168.863402908959</v>
      </c>
      <c r="P149" s="122">
        <f t="shared" si="121"/>
        <v>21064.497601415569</v>
      </c>
      <c r="Q149" s="122">
        <f t="shared" si="121"/>
        <v>20960.131799922179</v>
      </c>
      <c r="R149" s="122">
        <f t="shared" si="121"/>
        <v>20855.765998428789</v>
      </c>
      <c r="S149" s="122">
        <f t="shared" si="121"/>
        <v>20751.400196935399</v>
      </c>
      <c r="T149" s="122">
        <f t="shared" si="121"/>
        <v>20647.03439544201</v>
      </c>
      <c r="U149" s="122">
        <f t="shared" si="121"/>
        <v>20542.66859394862</v>
      </c>
      <c r="V149" s="122">
        <f t="shared" si="121"/>
        <v>20438.30279245523</v>
      </c>
      <c r="W149" s="122">
        <f t="shared" si="121"/>
        <v>20333.93699096184</v>
      </c>
      <c r="X149" s="122">
        <f t="shared" si="121"/>
        <v>20229.57118946845</v>
      </c>
      <c r="Y149" s="122">
        <f t="shared" si="121"/>
        <v>20125.20538797506</v>
      </c>
      <c r="Z149" s="122">
        <f t="shared" si="121"/>
        <v>20020.83958648167</v>
      </c>
      <c r="AA149" s="122">
        <f t="shared" si="121"/>
        <v>19916.47378498828</v>
      </c>
      <c r="AB149" s="122">
        <f t="shared" si="121"/>
        <v>19812.107983494891</v>
      </c>
      <c r="AC149" s="122">
        <f t="shared" si="121"/>
        <v>19707.742182001501</v>
      </c>
      <c r="AD149" s="122">
        <f t="shared" si="121"/>
        <v>19603.376380508111</v>
      </c>
      <c r="AE149" s="122">
        <f t="shared" si="121"/>
        <v>19499.010579014721</v>
      </c>
      <c r="AF149" s="122">
        <f t="shared" si="121"/>
        <v>19394.644777521331</v>
      </c>
      <c r="AG149" s="117">
        <f t="shared" si="135"/>
        <v>7.4782030304806874E-2</v>
      </c>
      <c r="AH149" s="117">
        <f t="shared" si="135"/>
        <v>7.4782030304806874E-2</v>
      </c>
      <c r="AI149" s="117">
        <f t="shared" si="135"/>
        <v>7.4782030304806874E-2</v>
      </c>
      <c r="AJ149" s="117">
        <f t="shared" si="135"/>
        <v>7.4782030304806874E-2</v>
      </c>
      <c r="AK149" s="117">
        <f t="shared" si="135"/>
        <v>7.4782030304806874E-2</v>
      </c>
      <c r="AL149" s="117">
        <f t="shared" si="135"/>
        <v>7.4782030304806874E-2</v>
      </c>
      <c r="AM149" s="117">
        <f t="shared" si="135"/>
        <v>7.4782030304806874E-2</v>
      </c>
      <c r="AN149" s="117">
        <f t="shared" si="135"/>
        <v>7.4782030304806874E-2</v>
      </c>
      <c r="AO149" s="117">
        <f t="shared" si="135"/>
        <v>7.4782030304806874E-2</v>
      </c>
      <c r="AP149" s="117">
        <f t="shared" si="135"/>
        <v>7.4782030304806874E-2</v>
      </c>
      <c r="AQ149" s="117">
        <f t="shared" si="135"/>
        <v>7.4782030304806874E-2</v>
      </c>
      <c r="AR149" s="117">
        <f t="shared" si="119"/>
        <v>7.4782030304806874E-2</v>
      </c>
      <c r="AS149" s="117">
        <f t="shared" si="114"/>
        <v>7.4782030304806874E-2</v>
      </c>
      <c r="AT149" s="117">
        <f t="shared" si="114"/>
        <v>7.4782030304806874E-2</v>
      </c>
      <c r="AU149" s="117">
        <f t="shared" si="114"/>
        <v>7.4782030304806874E-2</v>
      </c>
      <c r="AV149" s="117">
        <f t="shared" si="114"/>
        <v>7.4782030304806874E-2</v>
      </c>
      <c r="AW149" s="117">
        <f t="shared" si="114"/>
        <v>7.4782030304806874E-2</v>
      </c>
      <c r="AX149" s="117">
        <f t="shared" si="114"/>
        <v>7.4782030304806874E-2</v>
      </c>
      <c r="AY149" s="117">
        <f t="shared" si="114"/>
        <v>7.4782030304806874E-2</v>
      </c>
      <c r="AZ149" s="117">
        <f t="shared" si="114"/>
        <v>7.4782030304806874E-2</v>
      </c>
      <c r="BA149" s="117">
        <f t="shared" si="114"/>
        <v>7.4782030304806874E-2</v>
      </c>
      <c r="BB149" s="117">
        <f t="shared" si="114"/>
        <v>7.4782030304806874E-2</v>
      </c>
      <c r="BC149" s="117">
        <f t="shared" si="114"/>
        <v>7.4782030304806874E-2</v>
      </c>
      <c r="BD149" s="117">
        <f t="shared" si="114"/>
        <v>7.4782030304806874E-2</v>
      </c>
      <c r="BE149" s="117">
        <f t="shared" si="114"/>
        <v>7.4782030304806874E-2</v>
      </c>
      <c r="BF149" s="117">
        <f t="shared" si="114"/>
        <v>7.4782030304806874E-2</v>
      </c>
      <c r="BG149" s="117">
        <f t="shared" si="114"/>
        <v>7.4782030304806874E-2</v>
      </c>
      <c r="BH149" s="117">
        <f t="shared" si="114"/>
        <v>7.4782030304806874E-2</v>
      </c>
      <c r="BI149" s="117">
        <f t="shared" si="114"/>
        <v>7.4782030304806874E-2</v>
      </c>
      <c r="BJ149" s="117">
        <f t="shared" si="114"/>
        <v>7.4782030304806874E-2</v>
      </c>
      <c r="BK149" s="117">
        <f t="shared" si="114"/>
        <v>7.4782030304806874E-2</v>
      </c>
    </row>
    <row r="150" spans="1:63" x14ac:dyDescent="0.35">
      <c r="A150" s="112" t="s">
        <v>14</v>
      </c>
      <c r="B150" s="114">
        <f>'Initial demand info'!F22</f>
        <v>4760.8800600000004</v>
      </c>
      <c r="C150" s="115">
        <f t="shared" si="133"/>
        <v>4835.8505931603449</v>
      </c>
      <c r="D150" s="115">
        <f t="shared" si="133"/>
        <v>4910.8211263206904</v>
      </c>
      <c r="E150" s="115">
        <f t="shared" si="133"/>
        <v>4985.7916594810349</v>
      </c>
      <c r="F150" s="115">
        <f t="shared" si="133"/>
        <v>5060.7621926413804</v>
      </c>
      <c r="G150" s="115">
        <f t="shared" si="133"/>
        <v>5135.7327258017231</v>
      </c>
      <c r="H150" s="115">
        <f t="shared" si="133"/>
        <v>5111.37351919713</v>
      </c>
      <c r="I150" s="115">
        <f t="shared" si="133"/>
        <v>5087.0143125925379</v>
      </c>
      <c r="J150" s="115">
        <f t="shared" si="133"/>
        <v>5062.6551059879448</v>
      </c>
      <c r="K150" s="115">
        <f t="shared" si="133"/>
        <v>5038.2958993833518</v>
      </c>
      <c r="L150" s="115">
        <f t="shared" si="133"/>
        <v>5013.9366927787578</v>
      </c>
      <c r="M150" s="122">
        <f t="shared" si="134"/>
        <v>4989.5774861741647</v>
      </c>
      <c r="N150" s="122">
        <f t="shared" si="121"/>
        <v>4965.2182795695717</v>
      </c>
      <c r="O150" s="122">
        <f t="shared" si="121"/>
        <v>4940.8590729649786</v>
      </c>
      <c r="P150" s="122">
        <f t="shared" si="121"/>
        <v>4916.4998663603856</v>
      </c>
      <c r="Q150" s="122">
        <f t="shared" si="121"/>
        <v>4892.1406597557925</v>
      </c>
      <c r="R150" s="122">
        <f t="shared" si="121"/>
        <v>4867.7814531511995</v>
      </c>
      <c r="S150" s="122">
        <f t="shared" si="121"/>
        <v>4843.4222465466064</v>
      </c>
      <c r="T150" s="122">
        <f t="shared" si="121"/>
        <v>4819.0630399420133</v>
      </c>
      <c r="U150" s="122">
        <f t="shared" si="121"/>
        <v>4794.7038333374203</v>
      </c>
      <c r="V150" s="122">
        <f t="shared" si="121"/>
        <v>4770.3446267328272</v>
      </c>
      <c r="W150" s="122">
        <f t="shared" si="121"/>
        <v>4745.9854201282342</v>
      </c>
      <c r="X150" s="122">
        <f t="shared" si="121"/>
        <v>4721.6262135236411</v>
      </c>
      <c r="Y150" s="122">
        <f t="shared" si="121"/>
        <v>4697.2670069190481</v>
      </c>
      <c r="Z150" s="122">
        <f t="shared" si="121"/>
        <v>4672.907800314455</v>
      </c>
      <c r="AA150" s="122">
        <f t="shared" si="121"/>
        <v>4648.548593709862</v>
      </c>
      <c r="AB150" s="122">
        <f t="shared" si="121"/>
        <v>4624.1893871052689</v>
      </c>
      <c r="AC150" s="122">
        <f t="shared" si="121"/>
        <v>4599.8301805006759</v>
      </c>
      <c r="AD150" s="122">
        <f t="shared" si="121"/>
        <v>4575.4709738960828</v>
      </c>
      <c r="AE150" s="122">
        <f t="shared" si="121"/>
        <v>4551.1117672914897</v>
      </c>
      <c r="AF150" s="122">
        <f t="shared" si="121"/>
        <v>4526.7525606868967</v>
      </c>
      <c r="AG150" s="117">
        <f t="shared" si="135"/>
        <v>1.7454289627825418E-2</v>
      </c>
      <c r="AH150" s="117">
        <f t="shared" si="135"/>
        <v>1.7454289627825418E-2</v>
      </c>
      <c r="AI150" s="117">
        <f t="shared" si="135"/>
        <v>1.7454289627825418E-2</v>
      </c>
      <c r="AJ150" s="117">
        <f t="shared" si="135"/>
        <v>1.7454289627825418E-2</v>
      </c>
      <c r="AK150" s="117">
        <f t="shared" si="135"/>
        <v>1.7454289627825418E-2</v>
      </c>
      <c r="AL150" s="117">
        <f t="shared" si="135"/>
        <v>1.7454289627825418E-2</v>
      </c>
      <c r="AM150" s="117">
        <f t="shared" si="135"/>
        <v>1.7454289627825418E-2</v>
      </c>
      <c r="AN150" s="117">
        <f t="shared" si="135"/>
        <v>1.7454289627825418E-2</v>
      </c>
      <c r="AO150" s="117">
        <f t="shared" si="135"/>
        <v>1.7454289627825418E-2</v>
      </c>
      <c r="AP150" s="117">
        <f t="shared" si="135"/>
        <v>1.7454289627825418E-2</v>
      </c>
      <c r="AQ150" s="117">
        <f t="shared" si="135"/>
        <v>1.7454289627825418E-2</v>
      </c>
      <c r="AR150" s="117">
        <f t="shared" si="119"/>
        <v>1.7454289627825418E-2</v>
      </c>
      <c r="AS150" s="117">
        <f t="shared" si="114"/>
        <v>1.7454289627825418E-2</v>
      </c>
      <c r="AT150" s="117">
        <f t="shared" si="114"/>
        <v>1.7454289627825418E-2</v>
      </c>
      <c r="AU150" s="117">
        <f t="shared" si="114"/>
        <v>1.7454289627825418E-2</v>
      </c>
      <c r="AV150" s="117">
        <f t="shared" si="114"/>
        <v>1.7454289627825418E-2</v>
      </c>
      <c r="AW150" s="117">
        <f t="shared" si="114"/>
        <v>1.7454289627825418E-2</v>
      </c>
      <c r="AX150" s="117">
        <f t="shared" si="114"/>
        <v>1.7454289627825418E-2</v>
      </c>
      <c r="AY150" s="117">
        <f t="shared" si="114"/>
        <v>1.7454289627825418E-2</v>
      </c>
      <c r="AZ150" s="117">
        <f t="shared" si="114"/>
        <v>1.7454289627825418E-2</v>
      </c>
      <c r="BA150" s="117">
        <f t="shared" si="114"/>
        <v>1.7454289627825418E-2</v>
      </c>
      <c r="BB150" s="117">
        <f t="shared" si="114"/>
        <v>1.7454289627825418E-2</v>
      </c>
      <c r="BC150" s="117">
        <f t="shared" si="114"/>
        <v>1.7454289627825418E-2</v>
      </c>
      <c r="BD150" s="117">
        <f t="shared" si="114"/>
        <v>1.7454289627825418E-2</v>
      </c>
      <c r="BE150" s="117">
        <f t="shared" si="114"/>
        <v>1.7454289627825418E-2</v>
      </c>
      <c r="BF150" s="117">
        <f t="shared" si="114"/>
        <v>1.7454289627825418E-2</v>
      </c>
      <c r="BG150" s="117">
        <f t="shared" si="114"/>
        <v>1.7454289627825418E-2</v>
      </c>
      <c r="BH150" s="117">
        <f t="shared" si="114"/>
        <v>1.7454289627825418E-2</v>
      </c>
      <c r="BI150" s="117">
        <f t="shared" si="114"/>
        <v>1.7454289627825418E-2</v>
      </c>
      <c r="BJ150" s="117">
        <f t="shared" si="114"/>
        <v>1.7454289627825418E-2</v>
      </c>
      <c r="BK150" s="117">
        <f t="shared" si="114"/>
        <v>1.7454289627825418E-2</v>
      </c>
    </row>
    <row r="151" spans="1:63" x14ac:dyDescent="0.35">
      <c r="A151" s="113"/>
      <c r="B151" s="114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17"/>
      <c r="AH151" s="117"/>
      <c r="AI151" s="117"/>
      <c r="AJ151" s="117"/>
      <c r="AK151" s="117"/>
      <c r="AL151" s="117"/>
      <c r="AM151" s="117"/>
      <c r="AN151" s="117"/>
      <c r="AO151" s="117"/>
      <c r="AP151" s="117"/>
      <c r="AQ151" s="117"/>
      <c r="AR151" s="117"/>
      <c r="AS151" s="117"/>
      <c r="AT151" s="117"/>
      <c r="AU151" s="117"/>
      <c r="AV151" s="117"/>
      <c r="AW151" s="117"/>
      <c r="AX151" s="117"/>
      <c r="AY151" s="117"/>
      <c r="AZ151" s="117"/>
      <c r="BA151" s="117"/>
      <c r="BB151" s="117"/>
      <c r="BC151" s="117"/>
      <c r="BD151" s="117"/>
      <c r="BE151" s="117"/>
      <c r="BF151" s="117"/>
      <c r="BG151" s="117"/>
      <c r="BH151" s="117"/>
      <c r="BI151" s="117"/>
      <c r="BJ151" s="117"/>
      <c r="BK151" s="117"/>
    </row>
    <row r="152" spans="1:63" x14ac:dyDescent="0.35">
      <c r="A152" s="111" t="s">
        <v>6</v>
      </c>
      <c r="B152" s="114">
        <f>'Initial demand info'!F24</f>
        <v>336996.20653999998</v>
      </c>
      <c r="C152" s="115">
        <f t="shared" ref="C152:F152" si="136">B152+($G152-$B152)/5</f>
        <v>354030.76523199998</v>
      </c>
      <c r="D152" s="115">
        <f t="shared" si="136"/>
        <v>371065.32392399997</v>
      </c>
      <c r="E152" s="115">
        <f t="shared" si="136"/>
        <v>388099.88261599996</v>
      </c>
      <c r="F152" s="115">
        <f t="shared" si="136"/>
        <v>405134.44130799995</v>
      </c>
      <c r="G152" s="116">
        <f>G113</f>
        <v>422168.99999999994</v>
      </c>
      <c r="H152" s="115">
        <f>G152+($L152-$G152)/5</f>
        <v>418912.6</v>
      </c>
      <c r="I152" s="115">
        <f>H152+($L152-$G152)/5</f>
        <v>415656.2</v>
      </c>
      <c r="J152" s="115">
        <f>I152+($L152-$G152)/5</f>
        <v>412399.80000000005</v>
      </c>
      <c r="K152" s="115">
        <f>J152+($L152-$G152)/5</f>
        <v>409143.40000000008</v>
      </c>
      <c r="L152" s="116">
        <f>L113</f>
        <v>405887</v>
      </c>
      <c r="M152" s="122">
        <f t="shared" si="134"/>
        <v>402630.60000000003</v>
      </c>
      <c r="N152" s="122">
        <f t="shared" si="121"/>
        <v>399374.20000000007</v>
      </c>
      <c r="O152" s="122">
        <f t="shared" si="121"/>
        <v>396117.8000000001</v>
      </c>
      <c r="P152" s="122">
        <f t="shared" si="121"/>
        <v>392861.40000000014</v>
      </c>
      <c r="Q152" s="122">
        <f t="shared" si="121"/>
        <v>389605.00000000017</v>
      </c>
      <c r="R152" s="122">
        <f t="shared" si="121"/>
        <v>386348.60000000021</v>
      </c>
      <c r="S152" s="122">
        <f t="shared" si="121"/>
        <v>383092.20000000024</v>
      </c>
      <c r="T152" s="122">
        <f t="shared" si="121"/>
        <v>379835.80000000028</v>
      </c>
      <c r="U152" s="122">
        <f t="shared" si="121"/>
        <v>376579.40000000031</v>
      </c>
      <c r="V152" s="122">
        <f t="shared" si="121"/>
        <v>373323.00000000035</v>
      </c>
      <c r="W152" s="122">
        <f>V152</f>
        <v>373323.00000000035</v>
      </c>
      <c r="X152" s="122">
        <f t="shared" ref="X152:AF152" si="137">W152</f>
        <v>373323.00000000035</v>
      </c>
      <c r="Y152" s="122">
        <f t="shared" si="137"/>
        <v>373323.00000000035</v>
      </c>
      <c r="Z152" s="122">
        <f t="shared" si="137"/>
        <v>373323.00000000035</v>
      </c>
      <c r="AA152" s="122">
        <f t="shared" si="137"/>
        <v>373323.00000000035</v>
      </c>
      <c r="AB152" s="122">
        <f t="shared" si="137"/>
        <v>373323.00000000035</v>
      </c>
      <c r="AC152" s="122">
        <f t="shared" si="137"/>
        <v>373323.00000000035</v>
      </c>
      <c r="AD152" s="122">
        <f t="shared" si="137"/>
        <v>373323.00000000035</v>
      </c>
      <c r="AE152" s="122">
        <f t="shared" si="137"/>
        <v>373323.00000000035</v>
      </c>
      <c r="AF152" s="122">
        <f t="shared" si="137"/>
        <v>373323.00000000035</v>
      </c>
      <c r="AG152" s="121">
        <f>SUM(AG153:AG156)</f>
        <v>1</v>
      </c>
      <c r="AH152" s="121">
        <f t="shared" ref="AH152" si="138">SUM(AH153:AH156)</f>
        <v>1</v>
      </c>
      <c r="AI152" s="121">
        <f t="shared" ref="AI152" si="139">SUM(AI153:AI156)</f>
        <v>1</v>
      </c>
      <c r="AJ152" s="121">
        <f t="shared" ref="AJ152" si="140">SUM(AJ153:AJ156)</f>
        <v>1</v>
      </c>
      <c r="AK152" s="121">
        <f t="shared" ref="AK152" si="141">SUM(AK153:AK156)</f>
        <v>1</v>
      </c>
      <c r="AL152" s="121">
        <f t="shared" ref="AL152" si="142">SUM(AL153:AL156)</f>
        <v>1</v>
      </c>
      <c r="AM152" s="121">
        <f t="shared" ref="AM152" si="143">SUM(AM153:AM156)</f>
        <v>1</v>
      </c>
      <c r="AN152" s="121">
        <f t="shared" ref="AN152" si="144">SUM(AN153:AN156)</f>
        <v>1</v>
      </c>
      <c r="AO152" s="121">
        <f t="shared" ref="AO152" si="145">SUM(AO153:AO156)</f>
        <v>1</v>
      </c>
      <c r="AP152" s="121">
        <f t="shared" ref="AP152" si="146">SUM(AP153:AP156)</f>
        <v>1</v>
      </c>
      <c r="AQ152" s="121">
        <f t="shared" ref="AQ152" si="147">SUM(AQ153:AQ156)</f>
        <v>1.0000000000000002</v>
      </c>
      <c r="AR152" s="117">
        <f t="shared" si="119"/>
        <v>1.0000000000000002</v>
      </c>
      <c r="AS152" s="117">
        <f t="shared" si="114"/>
        <v>1.0000000000000002</v>
      </c>
      <c r="AT152" s="117">
        <f t="shared" si="114"/>
        <v>1.0000000000000002</v>
      </c>
      <c r="AU152" s="117">
        <f t="shared" si="114"/>
        <v>1.0000000000000002</v>
      </c>
      <c r="AV152" s="117">
        <f t="shared" si="114"/>
        <v>1.0000000000000002</v>
      </c>
      <c r="AW152" s="117">
        <f t="shared" si="114"/>
        <v>1.0000000000000002</v>
      </c>
      <c r="AX152" s="117">
        <f t="shared" si="114"/>
        <v>1.0000000000000002</v>
      </c>
      <c r="AY152" s="117">
        <f t="shared" si="114"/>
        <v>1.0000000000000002</v>
      </c>
      <c r="AZ152" s="117">
        <f t="shared" si="114"/>
        <v>1.0000000000000002</v>
      </c>
      <c r="BA152" s="117">
        <f t="shared" si="114"/>
        <v>1.0000000000000002</v>
      </c>
      <c r="BB152" s="117">
        <f t="shared" si="114"/>
        <v>1.0000000000000002</v>
      </c>
      <c r="BC152" s="117">
        <f t="shared" si="114"/>
        <v>1.0000000000000002</v>
      </c>
      <c r="BD152" s="117">
        <f t="shared" si="114"/>
        <v>1.0000000000000002</v>
      </c>
      <c r="BE152" s="117">
        <f t="shared" si="114"/>
        <v>1.0000000000000002</v>
      </c>
      <c r="BF152" s="117">
        <f t="shared" si="114"/>
        <v>1.0000000000000002</v>
      </c>
      <c r="BG152" s="117">
        <f t="shared" si="114"/>
        <v>1.0000000000000002</v>
      </c>
      <c r="BH152" s="117">
        <f t="shared" si="114"/>
        <v>1.0000000000000002</v>
      </c>
      <c r="BI152" s="117">
        <f t="shared" si="114"/>
        <v>1.0000000000000002</v>
      </c>
      <c r="BJ152" s="117">
        <f t="shared" si="114"/>
        <v>1.0000000000000002</v>
      </c>
      <c r="BK152" s="117">
        <f t="shared" si="114"/>
        <v>1.0000000000000002</v>
      </c>
    </row>
    <row r="153" spans="1:63" x14ac:dyDescent="0.35">
      <c r="A153" s="112" t="s">
        <v>11</v>
      </c>
      <c r="B153" s="114">
        <f>'Initial demand info'!F25</f>
        <v>10114.180690000001</v>
      </c>
      <c r="C153" s="115">
        <f t="shared" ref="C153:L156" si="148">C$113*$AG153</f>
        <v>10625.434529781274</v>
      </c>
      <c r="D153" s="115">
        <f t="shared" si="148"/>
        <v>11136.688369562547</v>
      </c>
      <c r="E153" s="115">
        <f t="shared" si="148"/>
        <v>11647.942209343821</v>
      </c>
      <c r="F153" s="115">
        <f t="shared" si="148"/>
        <v>12159.196049125094</v>
      </c>
      <c r="G153" s="115">
        <f t="shared" si="148"/>
        <v>12670.449888906367</v>
      </c>
      <c r="H153" s="115">
        <f t="shared" si="148"/>
        <v>12572.716391140699</v>
      </c>
      <c r="I153" s="115">
        <f t="shared" si="148"/>
        <v>12474.98289337503</v>
      </c>
      <c r="J153" s="115">
        <f t="shared" si="148"/>
        <v>12377.249395609364</v>
      </c>
      <c r="K153" s="115">
        <f t="shared" si="148"/>
        <v>12279.515897843696</v>
      </c>
      <c r="L153" s="115">
        <f t="shared" si="148"/>
        <v>12181.782400078024</v>
      </c>
      <c r="M153" s="122">
        <f t="shared" si="134"/>
        <v>12084.048902312355</v>
      </c>
      <c r="N153" s="122">
        <f t="shared" si="121"/>
        <v>11986.315404546687</v>
      </c>
      <c r="O153" s="122">
        <f t="shared" si="121"/>
        <v>11888.581906781019</v>
      </c>
      <c r="P153" s="122">
        <f t="shared" si="121"/>
        <v>11790.848409015351</v>
      </c>
      <c r="Q153" s="122">
        <f t="shared" si="121"/>
        <v>11693.114911249682</v>
      </c>
      <c r="R153" s="122">
        <f t="shared" si="121"/>
        <v>11595.381413484014</v>
      </c>
      <c r="S153" s="122">
        <f t="shared" si="121"/>
        <v>11497.647915718346</v>
      </c>
      <c r="T153" s="122">
        <f t="shared" si="121"/>
        <v>11399.914417952677</v>
      </c>
      <c r="U153" s="122">
        <f t="shared" si="121"/>
        <v>11302.180920187009</v>
      </c>
      <c r="V153" s="122">
        <f t="shared" si="121"/>
        <v>11204.447422421341</v>
      </c>
      <c r="W153" s="122">
        <f t="shared" si="121"/>
        <v>11106.713924655673</v>
      </c>
      <c r="X153" s="122">
        <f t="shared" si="121"/>
        <v>11008.980426890004</v>
      </c>
      <c r="Y153" s="122">
        <f t="shared" si="121"/>
        <v>10911.246929124336</v>
      </c>
      <c r="Z153" s="122">
        <f t="shared" si="121"/>
        <v>10813.513431358668</v>
      </c>
      <c r="AA153" s="122">
        <f t="shared" si="121"/>
        <v>10715.779933592999</v>
      </c>
      <c r="AB153" s="122">
        <f t="shared" si="121"/>
        <v>10618.046435827331</v>
      </c>
      <c r="AC153" s="122">
        <f t="shared" si="121"/>
        <v>10520.312938061663</v>
      </c>
      <c r="AD153" s="122">
        <f t="shared" si="121"/>
        <v>10422.579440295995</v>
      </c>
      <c r="AE153" s="122">
        <f t="shared" si="121"/>
        <v>10324.845942530326</v>
      </c>
      <c r="AF153" s="122">
        <f t="shared" si="121"/>
        <v>10227.112444764658</v>
      </c>
      <c r="AG153" s="117">
        <f t="shared" ref="AG153:AQ156" si="149">B153/B$113</f>
        <v>3.001274344849188E-2</v>
      </c>
      <c r="AH153" s="117">
        <f t="shared" si="149"/>
        <v>3.001274344849188E-2</v>
      </c>
      <c r="AI153" s="117">
        <f t="shared" si="149"/>
        <v>3.001274344849188E-2</v>
      </c>
      <c r="AJ153" s="117">
        <f t="shared" si="149"/>
        <v>3.001274344849188E-2</v>
      </c>
      <c r="AK153" s="117">
        <f t="shared" si="149"/>
        <v>3.001274344849188E-2</v>
      </c>
      <c r="AL153" s="117">
        <f t="shared" si="149"/>
        <v>3.001274344849188E-2</v>
      </c>
      <c r="AM153" s="117">
        <f t="shared" si="149"/>
        <v>3.001274344849188E-2</v>
      </c>
      <c r="AN153" s="117">
        <f t="shared" si="149"/>
        <v>3.001274344849188E-2</v>
      </c>
      <c r="AO153" s="117">
        <f t="shared" si="149"/>
        <v>3.0012743448491884E-2</v>
      </c>
      <c r="AP153" s="117">
        <f t="shared" si="149"/>
        <v>3.001274344849188E-2</v>
      </c>
      <c r="AQ153" s="117">
        <f t="shared" si="149"/>
        <v>3.001274344849188E-2</v>
      </c>
      <c r="AR153" s="117">
        <f t="shared" si="119"/>
        <v>3.001274344849188E-2</v>
      </c>
      <c r="AS153" s="117">
        <f t="shared" ref="AS153:BK168" si="150">$AQ153</f>
        <v>3.001274344849188E-2</v>
      </c>
      <c r="AT153" s="117">
        <f t="shared" si="150"/>
        <v>3.001274344849188E-2</v>
      </c>
      <c r="AU153" s="117">
        <f t="shared" si="150"/>
        <v>3.001274344849188E-2</v>
      </c>
      <c r="AV153" s="117">
        <f t="shared" si="150"/>
        <v>3.001274344849188E-2</v>
      </c>
      <c r="AW153" s="117">
        <f t="shared" si="150"/>
        <v>3.001274344849188E-2</v>
      </c>
      <c r="AX153" s="117">
        <f t="shared" si="150"/>
        <v>3.001274344849188E-2</v>
      </c>
      <c r="AY153" s="117">
        <f t="shared" si="150"/>
        <v>3.001274344849188E-2</v>
      </c>
      <c r="AZ153" s="117">
        <f t="shared" si="150"/>
        <v>3.001274344849188E-2</v>
      </c>
      <c r="BA153" s="117">
        <f t="shared" si="150"/>
        <v>3.001274344849188E-2</v>
      </c>
      <c r="BB153" s="117">
        <f t="shared" si="150"/>
        <v>3.001274344849188E-2</v>
      </c>
      <c r="BC153" s="117">
        <f t="shared" si="150"/>
        <v>3.001274344849188E-2</v>
      </c>
      <c r="BD153" s="117">
        <f t="shared" si="150"/>
        <v>3.001274344849188E-2</v>
      </c>
      <c r="BE153" s="117">
        <f t="shared" si="150"/>
        <v>3.001274344849188E-2</v>
      </c>
      <c r="BF153" s="117">
        <f t="shared" si="150"/>
        <v>3.001274344849188E-2</v>
      </c>
      <c r="BG153" s="117">
        <f t="shared" si="150"/>
        <v>3.001274344849188E-2</v>
      </c>
      <c r="BH153" s="117">
        <f t="shared" si="150"/>
        <v>3.001274344849188E-2</v>
      </c>
      <c r="BI153" s="117">
        <f t="shared" si="150"/>
        <v>3.001274344849188E-2</v>
      </c>
      <c r="BJ153" s="117">
        <f t="shared" si="150"/>
        <v>3.001274344849188E-2</v>
      </c>
      <c r="BK153" s="117">
        <f t="shared" si="150"/>
        <v>3.001274344849188E-2</v>
      </c>
    </row>
    <row r="154" spans="1:63" x14ac:dyDescent="0.35">
      <c r="A154" s="112" t="s">
        <v>15</v>
      </c>
      <c r="B154" s="114">
        <f>'Initial demand info'!F26</f>
        <v>11248.163840000001</v>
      </c>
      <c r="C154" s="115">
        <f t="shared" si="148"/>
        <v>11816.738510548908</v>
      </c>
      <c r="D154" s="115">
        <f t="shared" si="148"/>
        <v>12385.313181097816</v>
      </c>
      <c r="E154" s="115">
        <f t="shared" si="148"/>
        <v>12953.887851646725</v>
      </c>
      <c r="F154" s="115">
        <f t="shared" si="148"/>
        <v>13522.462522195632</v>
      </c>
      <c r="G154" s="115">
        <f t="shared" si="148"/>
        <v>14091.037192744539</v>
      </c>
      <c r="H154" s="115">
        <f t="shared" si="148"/>
        <v>13982.345996767446</v>
      </c>
      <c r="I154" s="115">
        <f t="shared" si="148"/>
        <v>13873.654800790355</v>
      </c>
      <c r="J154" s="115">
        <f t="shared" si="148"/>
        <v>13764.963604813263</v>
      </c>
      <c r="K154" s="115">
        <f t="shared" si="148"/>
        <v>13656.272408836172</v>
      </c>
      <c r="L154" s="115">
        <f t="shared" si="148"/>
        <v>13547.581212859077</v>
      </c>
      <c r="M154" s="122">
        <f t="shared" si="134"/>
        <v>13438.890016881984</v>
      </c>
      <c r="N154" s="122">
        <f t="shared" si="121"/>
        <v>13330.19882090489</v>
      </c>
      <c r="O154" s="122">
        <f t="shared" si="121"/>
        <v>13221.507624927797</v>
      </c>
      <c r="P154" s="122">
        <f t="shared" si="121"/>
        <v>13112.816428950704</v>
      </c>
      <c r="Q154" s="122">
        <f t="shared" si="121"/>
        <v>13004.125232973611</v>
      </c>
      <c r="R154" s="122">
        <f t="shared" si="121"/>
        <v>12895.434036996518</v>
      </c>
      <c r="S154" s="122">
        <f t="shared" si="121"/>
        <v>12786.742841019424</v>
      </c>
      <c r="T154" s="122">
        <f t="shared" si="121"/>
        <v>12678.051645042331</v>
      </c>
      <c r="U154" s="122">
        <f t="shared" si="121"/>
        <v>12569.360449065238</v>
      </c>
      <c r="V154" s="122">
        <f t="shared" si="121"/>
        <v>12460.669253088145</v>
      </c>
      <c r="W154" s="122">
        <f t="shared" si="121"/>
        <v>12351.978057111051</v>
      </c>
      <c r="X154" s="122">
        <f t="shared" si="121"/>
        <v>12243.286861133958</v>
      </c>
      <c r="Y154" s="122">
        <f t="shared" si="121"/>
        <v>12134.595665156865</v>
      </c>
      <c r="Z154" s="122">
        <f t="shared" si="121"/>
        <v>12025.904469179772</v>
      </c>
      <c r="AA154" s="122">
        <f t="shared" si="121"/>
        <v>11917.213273202678</v>
      </c>
      <c r="AB154" s="122">
        <f t="shared" si="121"/>
        <v>11808.522077225585</v>
      </c>
      <c r="AC154" s="122">
        <f t="shared" si="121"/>
        <v>11699.830881248492</v>
      </c>
      <c r="AD154" s="122">
        <f t="shared" si="121"/>
        <v>11591.139685271399</v>
      </c>
      <c r="AE154" s="122">
        <f t="shared" si="121"/>
        <v>11482.448489294306</v>
      </c>
      <c r="AF154" s="122">
        <f t="shared" si="121"/>
        <v>11373.757293317212</v>
      </c>
      <c r="AG154" s="117">
        <f t="shared" si="149"/>
        <v>3.3377716489710378E-2</v>
      </c>
      <c r="AH154" s="117">
        <f t="shared" si="149"/>
        <v>3.3377716489710378E-2</v>
      </c>
      <c r="AI154" s="117">
        <f t="shared" si="149"/>
        <v>3.3377716489710378E-2</v>
      </c>
      <c r="AJ154" s="117">
        <f t="shared" si="149"/>
        <v>3.3377716489710378E-2</v>
      </c>
      <c r="AK154" s="117">
        <f t="shared" si="149"/>
        <v>3.3377716489710378E-2</v>
      </c>
      <c r="AL154" s="117">
        <f t="shared" si="149"/>
        <v>3.3377716489710378E-2</v>
      </c>
      <c r="AM154" s="117">
        <f t="shared" si="149"/>
        <v>3.3377716489710378E-2</v>
      </c>
      <c r="AN154" s="117">
        <f t="shared" si="149"/>
        <v>3.3377716489710378E-2</v>
      </c>
      <c r="AO154" s="117">
        <f t="shared" si="149"/>
        <v>3.3377716489710378E-2</v>
      </c>
      <c r="AP154" s="117">
        <f t="shared" si="149"/>
        <v>3.3377716489710378E-2</v>
      </c>
      <c r="AQ154" s="117">
        <f t="shared" si="149"/>
        <v>3.3377716489710378E-2</v>
      </c>
      <c r="AR154" s="117">
        <f t="shared" si="119"/>
        <v>3.3377716489710378E-2</v>
      </c>
      <c r="AS154" s="117">
        <f t="shared" si="150"/>
        <v>3.3377716489710378E-2</v>
      </c>
      <c r="AT154" s="117">
        <f t="shared" si="150"/>
        <v>3.3377716489710378E-2</v>
      </c>
      <c r="AU154" s="117">
        <f t="shared" si="150"/>
        <v>3.3377716489710378E-2</v>
      </c>
      <c r="AV154" s="117">
        <f t="shared" si="150"/>
        <v>3.3377716489710378E-2</v>
      </c>
      <c r="AW154" s="117">
        <f t="shared" si="150"/>
        <v>3.3377716489710378E-2</v>
      </c>
      <c r="AX154" s="117">
        <f t="shared" si="150"/>
        <v>3.3377716489710378E-2</v>
      </c>
      <c r="AY154" s="117">
        <f t="shared" si="150"/>
        <v>3.3377716489710378E-2</v>
      </c>
      <c r="AZ154" s="117">
        <f t="shared" si="150"/>
        <v>3.3377716489710378E-2</v>
      </c>
      <c r="BA154" s="117">
        <f t="shared" si="150"/>
        <v>3.3377716489710378E-2</v>
      </c>
      <c r="BB154" s="117">
        <f t="shared" si="150"/>
        <v>3.3377716489710378E-2</v>
      </c>
      <c r="BC154" s="117">
        <f t="shared" si="150"/>
        <v>3.3377716489710378E-2</v>
      </c>
      <c r="BD154" s="117">
        <f t="shared" si="150"/>
        <v>3.3377716489710378E-2</v>
      </c>
      <c r="BE154" s="117">
        <f t="shared" si="150"/>
        <v>3.3377716489710378E-2</v>
      </c>
      <c r="BF154" s="117">
        <f t="shared" si="150"/>
        <v>3.3377716489710378E-2</v>
      </c>
      <c r="BG154" s="117">
        <f t="shared" si="150"/>
        <v>3.3377716489710378E-2</v>
      </c>
      <c r="BH154" s="117">
        <f t="shared" si="150"/>
        <v>3.3377716489710378E-2</v>
      </c>
      <c r="BI154" s="117">
        <f t="shared" si="150"/>
        <v>3.3377716489710378E-2</v>
      </c>
      <c r="BJ154" s="117">
        <f t="shared" si="150"/>
        <v>3.3377716489710378E-2</v>
      </c>
      <c r="BK154" s="117">
        <f t="shared" si="150"/>
        <v>3.3377716489710378E-2</v>
      </c>
    </row>
    <row r="155" spans="1:63" x14ac:dyDescent="0.35">
      <c r="A155" s="112" t="s">
        <v>83</v>
      </c>
      <c r="B155" s="114">
        <f>'Initial demand info'!F27</f>
        <v>14708.902940000002</v>
      </c>
      <c r="C155" s="115">
        <f t="shared" si="148"/>
        <v>15452.411815066882</v>
      </c>
      <c r="D155" s="115">
        <f t="shared" si="148"/>
        <v>16195.920690133762</v>
      </c>
      <c r="E155" s="115">
        <f t="shared" si="148"/>
        <v>16939.42956520064</v>
      </c>
      <c r="F155" s="115">
        <f t="shared" si="148"/>
        <v>17682.93844026752</v>
      </c>
      <c r="G155" s="115">
        <f t="shared" si="148"/>
        <v>18426.447315334401</v>
      </c>
      <c r="H155" s="115">
        <f t="shared" si="148"/>
        <v>18284.314939348355</v>
      </c>
      <c r="I155" s="115">
        <f t="shared" si="148"/>
        <v>18142.182563362305</v>
      </c>
      <c r="J155" s="115">
        <f t="shared" si="148"/>
        <v>18000.050187376255</v>
      </c>
      <c r="K155" s="115">
        <f t="shared" si="148"/>
        <v>17857.917811390205</v>
      </c>
      <c r="L155" s="115">
        <f t="shared" si="148"/>
        <v>17715.785435404152</v>
      </c>
      <c r="M155" s="122">
        <f t="shared" si="134"/>
        <v>17573.653059418102</v>
      </c>
      <c r="N155" s="122">
        <f t="shared" si="121"/>
        <v>17431.520683432052</v>
      </c>
      <c r="O155" s="122">
        <f t="shared" si="121"/>
        <v>17289.388307446003</v>
      </c>
      <c r="P155" s="122">
        <f t="shared" si="121"/>
        <v>17147.255931459953</v>
      </c>
      <c r="Q155" s="122">
        <f t="shared" si="121"/>
        <v>17005.123555473903</v>
      </c>
      <c r="R155" s="122">
        <f t="shared" si="121"/>
        <v>16862.991179487854</v>
      </c>
      <c r="S155" s="122">
        <f t="shared" si="121"/>
        <v>16720.858803501804</v>
      </c>
      <c r="T155" s="122">
        <f t="shared" si="121"/>
        <v>16578.726427515754</v>
      </c>
      <c r="U155" s="122">
        <f t="shared" si="121"/>
        <v>16436.594051529704</v>
      </c>
      <c r="V155" s="122">
        <f t="shared" si="121"/>
        <v>16294.461675543655</v>
      </c>
      <c r="W155" s="122">
        <f t="shared" si="121"/>
        <v>16152.329299557605</v>
      </c>
      <c r="X155" s="122">
        <f t="shared" si="121"/>
        <v>16010.196923571555</v>
      </c>
      <c r="Y155" s="122">
        <f t="shared" si="121"/>
        <v>15868.064547585505</v>
      </c>
      <c r="Z155" s="122">
        <f t="shared" si="121"/>
        <v>15725.932171599456</v>
      </c>
      <c r="AA155" s="122">
        <f t="shared" si="121"/>
        <v>15583.799795613406</v>
      </c>
      <c r="AB155" s="122">
        <f t="shared" si="121"/>
        <v>15441.667419627356</v>
      </c>
      <c r="AC155" s="122">
        <f t="shared" si="121"/>
        <v>15299.535043641306</v>
      </c>
      <c r="AD155" s="122">
        <f t="shared" si="121"/>
        <v>15157.402667655257</v>
      </c>
      <c r="AE155" s="122">
        <f t="shared" si="121"/>
        <v>15015.270291669207</v>
      </c>
      <c r="AF155" s="122">
        <f t="shared" si="121"/>
        <v>14873.137915683157</v>
      </c>
      <c r="AG155" s="117">
        <f t="shared" si="149"/>
        <v>4.3647087577094491E-2</v>
      </c>
      <c r="AH155" s="117">
        <f t="shared" si="149"/>
        <v>4.3647087577094491E-2</v>
      </c>
      <c r="AI155" s="117">
        <f t="shared" si="149"/>
        <v>4.3647087577094491E-2</v>
      </c>
      <c r="AJ155" s="117">
        <f t="shared" si="149"/>
        <v>4.3647087577094484E-2</v>
      </c>
      <c r="AK155" s="117">
        <f t="shared" si="149"/>
        <v>4.3647087577094484E-2</v>
      </c>
      <c r="AL155" s="117">
        <f t="shared" si="149"/>
        <v>4.3647087577094491E-2</v>
      </c>
      <c r="AM155" s="117">
        <f t="shared" si="149"/>
        <v>4.3647087577094498E-2</v>
      </c>
      <c r="AN155" s="117">
        <f t="shared" si="149"/>
        <v>4.3647087577094491E-2</v>
      </c>
      <c r="AO155" s="117">
        <f t="shared" si="149"/>
        <v>4.3647087577094491E-2</v>
      </c>
      <c r="AP155" s="117">
        <f t="shared" si="149"/>
        <v>4.3647087577094491E-2</v>
      </c>
      <c r="AQ155" s="117">
        <f t="shared" si="149"/>
        <v>4.3647087577094491E-2</v>
      </c>
      <c r="AR155" s="117">
        <f t="shared" si="119"/>
        <v>4.3647087577094491E-2</v>
      </c>
      <c r="AS155" s="117">
        <f t="shared" si="150"/>
        <v>4.3647087577094491E-2</v>
      </c>
      <c r="AT155" s="117">
        <f t="shared" si="150"/>
        <v>4.3647087577094491E-2</v>
      </c>
      <c r="AU155" s="117">
        <f t="shared" si="150"/>
        <v>4.3647087577094491E-2</v>
      </c>
      <c r="AV155" s="117">
        <f t="shared" si="150"/>
        <v>4.3647087577094491E-2</v>
      </c>
      <c r="AW155" s="117">
        <f t="shared" si="150"/>
        <v>4.3647087577094491E-2</v>
      </c>
      <c r="AX155" s="117">
        <f t="shared" si="150"/>
        <v>4.3647087577094491E-2</v>
      </c>
      <c r="AY155" s="117">
        <f t="shared" si="150"/>
        <v>4.3647087577094491E-2</v>
      </c>
      <c r="AZ155" s="117">
        <f t="shared" si="150"/>
        <v>4.3647087577094491E-2</v>
      </c>
      <c r="BA155" s="117">
        <f t="shared" si="150"/>
        <v>4.3647087577094491E-2</v>
      </c>
      <c r="BB155" s="117">
        <f t="shared" si="150"/>
        <v>4.3647087577094491E-2</v>
      </c>
      <c r="BC155" s="117">
        <f t="shared" si="150"/>
        <v>4.3647087577094491E-2</v>
      </c>
      <c r="BD155" s="117">
        <f t="shared" si="150"/>
        <v>4.3647087577094491E-2</v>
      </c>
      <c r="BE155" s="117">
        <f t="shared" si="150"/>
        <v>4.3647087577094491E-2</v>
      </c>
      <c r="BF155" s="117">
        <f t="shared" si="150"/>
        <v>4.3647087577094491E-2</v>
      </c>
      <c r="BG155" s="117">
        <f t="shared" si="150"/>
        <v>4.3647087577094491E-2</v>
      </c>
      <c r="BH155" s="117">
        <f t="shared" si="150"/>
        <v>4.3647087577094491E-2</v>
      </c>
      <c r="BI155" s="117">
        <f t="shared" si="150"/>
        <v>4.3647087577094491E-2</v>
      </c>
      <c r="BJ155" s="117">
        <f t="shared" si="150"/>
        <v>4.3647087577094491E-2</v>
      </c>
      <c r="BK155" s="117">
        <f t="shared" si="150"/>
        <v>4.3647087577094491E-2</v>
      </c>
    </row>
    <row r="156" spans="1:63" x14ac:dyDescent="0.35">
      <c r="A156" s="112" t="s">
        <v>80</v>
      </c>
      <c r="B156" s="114">
        <f>'Initial demand info'!F28</f>
        <v>300924.95906999998</v>
      </c>
      <c r="C156" s="115">
        <f t="shared" si="148"/>
        <v>316136.18037660292</v>
      </c>
      <c r="D156" s="115">
        <f t="shared" si="148"/>
        <v>331347.40168320586</v>
      </c>
      <c r="E156" s="115">
        <f t="shared" si="148"/>
        <v>346558.62298980879</v>
      </c>
      <c r="F156" s="115">
        <f t="shared" si="148"/>
        <v>361769.84429641173</v>
      </c>
      <c r="G156" s="115">
        <f t="shared" si="148"/>
        <v>376981.06560301466</v>
      </c>
      <c r="H156" s="115">
        <f t="shared" si="148"/>
        <v>374073.22267274349</v>
      </c>
      <c r="I156" s="115">
        <f t="shared" si="148"/>
        <v>371165.37974247232</v>
      </c>
      <c r="J156" s="115">
        <f t="shared" si="148"/>
        <v>368257.5368122012</v>
      </c>
      <c r="K156" s="115">
        <f t="shared" si="148"/>
        <v>365349.69388193003</v>
      </c>
      <c r="L156" s="115">
        <f t="shared" si="148"/>
        <v>362441.85095165879</v>
      </c>
      <c r="M156" s="122">
        <f t="shared" si="134"/>
        <v>359534.00802138762</v>
      </c>
      <c r="N156" s="122">
        <f t="shared" si="121"/>
        <v>356626.16509111645</v>
      </c>
      <c r="O156" s="122">
        <f t="shared" si="121"/>
        <v>353718.32216084527</v>
      </c>
      <c r="P156" s="122">
        <f t="shared" si="121"/>
        <v>350810.4792305741</v>
      </c>
      <c r="Q156" s="122">
        <f t="shared" si="121"/>
        <v>347902.63630030293</v>
      </c>
      <c r="R156" s="122">
        <f t="shared" si="121"/>
        <v>344994.79337003175</v>
      </c>
      <c r="S156" s="122">
        <f t="shared" si="121"/>
        <v>342086.95043976058</v>
      </c>
      <c r="T156" s="122">
        <f t="shared" si="121"/>
        <v>339179.1075094894</v>
      </c>
      <c r="U156" s="122">
        <f t="shared" si="121"/>
        <v>336271.26457921823</v>
      </c>
      <c r="V156" s="122">
        <f t="shared" si="121"/>
        <v>333363.42164894706</v>
      </c>
      <c r="W156" s="122">
        <f t="shared" si="121"/>
        <v>330455.57871867588</v>
      </c>
      <c r="X156" s="122">
        <f t="shared" si="121"/>
        <v>327547.73578840471</v>
      </c>
      <c r="Y156" s="122">
        <f t="shared" si="121"/>
        <v>324639.89285813353</v>
      </c>
      <c r="Z156" s="122">
        <f t="shared" si="121"/>
        <v>321732.04992786236</v>
      </c>
      <c r="AA156" s="122">
        <f t="shared" si="121"/>
        <v>318824.20699759119</v>
      </c>
      <c r="AB156" s="122">
        <f t="shared" si="121"/>
        <v>315916.36406732001</v>
      </c>
      <c r="AC156" s="122">
        <f t="shared" si="121"/>
        <v>313008.52113704884</v>
      </c>
      <c r="AD156" s="122">
        <f t="shared" si="121"/>
        <v>310100.67820677767</v>
      </c>
      <c r="AE156" s="122">
        <f t="shared" si="121"/>
        <v>307192.83527650649</v>
      </c>
      <c r="AF156" s="122">
        <f t="shared" si="121"/>
        <v>304284.99234623532</v>
      </c>
      <c r="AG156" s="117">
        <f t="shared" si="149"/>
        <v>0.8929624524847033</v>
      </c>
      <c r="AH156" s="117">
        <f t="shared" si="149"/>
        <v>0.8929624524847033</v>
      </c>
      <c r="AI156" s="117">
        <f t="shared" si="149"/>
        <v>0.8929624524847033</v>
      </c>
      <c r="AJ156" s="117">
        <f t="shared" si="149"/>
        <v>0.8929624524847033</v>
      </c>
      <c r="AK156" s="117">
        <f t="shared" si="149"/>
        <v>0.8929624524847033</v>
      </c>
      <c r="AL156" s="117">
        <f t="shared" si="149"/>
        <v>0.8929624524847033</v>
      </c>
      <c r="AM156" s="117">
        <f t="shared" si="149"/>
        <v>0.8929624524847033</v>
      </c>
      <c r="AN156" s="117">
        <f t="shared" si="149"/>
        <v>0.89296245248470318</v>
      </c>
      <c r="AO156" s="117">
        <f t="shared" si="149"/>
        <v>0.8929624524847033</v>
      </c>
      <c r="AP156" s="117">
        <f t="shared" si="149"/>
        <v>0.8929624524847033</v>
      </c>
      <c r="AQ156" s="117">
        <f t="shared" si="149"/>
        <v>0.89296245248470341</v>
      </c>
      <c r="AR156" s="117">
        <f t="shared" si="119"/>
        <v>0.89296245248470341</v>
      </c>
      <c r="AS156" s="117">
        <f t="shared" si="150"/>
        <v>0.89296245248470341</v>
      </c>
      <c r="AT156" s="117">
        <f t="shared" si="150"/>
        <v>0.89296245248470341</v>
      </c>
      <c r="AU156" s="117">
        <f t="shared" si="150"/>
        <v>0.89296245248470341</v>
      </c>
      <c r="AV156" s="117">
        <f t="shared" si="150"/>
        <v>0.89296245248470341</v>
      </c>
      <c r="AW156" s="117">
        <f t="shared" si="150"/>
        <v>0.89296245248470341</v>
      </c>
      <c r="AX156" s="117">
        <f t="shared" si="150"/>
        <v>0.89296245248470341</v>
      </c>
      <c r="AY156" s="117">
        <f t="shared" si="150"/>
        <v>0.89296245248470341</v>
      </c>
      <c r="AZ156" s="117">
        <f t="shared" si="150"/>
        <v>0.89296245248470341</v>
      </c>
      <c r="BA156" s="117">
        <f t="shared" si="150"/>
        <v>0.89296245248470341</v>
      </c>
      <c r="BB156" s="117">
        <f t="shared" si="150"/>
        <v>0.89296245248470341</v>
      </c>
      <c r="BC156" s="117">
        <f t="shared" si="150"/>
        <v>0.89296245248470341</v>
      </c>
      <c r="BD156" s="117">
        <f t="shared" si="150"/>
        <v>0.89296245248470341</v>
      </c>
      <c r="BE156" s="117">
        <f t="shared" si="150"/>
        <v>0.89296245248470341</v>
      </c>
      <c r="BF156" s="117">
        <f t="shared" si="150"/>
        <v>0.89296245248470341</v>
      </c>
      <c r="BG156" s="117">
        <f t="shared" si="150"/>
        <v>0.89296245248470341</v>
      </c>
      <c r="BH156" s="117">
        <f t="shared" si="150"/>
        <v>0.89296245248470341</v>
      </c>
      <c r="BI156" s="117">
        <f t="shared" si="150"/>
        <v>0.89296245248470341</v>
      </c>
      <c r="BJ156" s="117">
        <f t="shared" si="150"/>
        <v>0.89296245248470341</v>
      </c>
      <c r="BK156" s="117">
        <f t="shared" si="150"/>
        <v>0.89296245248470341</v>
      </c>
    </row>
    <row r="157" spans="1:63" x14ac:dyDescent="0.35">
      <c r="A157" s="112"/>
      <c r="B157" s="114"/>
      <c r="C157" s="115"/>
      <c r="D157" s="115"/>
      <c r="E157" s="115"/>
      <c r="F157" s="115"/>
      <c r="G157" s="115"/>
      <c r="H157" s="117"/>
      <c r="I157" s="117"/>
      <c r="J157" s="117"/>
      <c r="K157" s="117"/>
      <c r="L157" s="115"/>
      <c r="M157" s="122">
        <f t="shared" si="134"/>
        <v>0</v>
      </c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17"/>
      <c r="AH157" s="117"/>
      <c r="AI157" s="117"/>
      <c r="AJ157" s="117"/>
      <c r="AK157" s="117"/>
      <c r="AL157" s="117"/>
      <c r="AM157" s="117"/>
      <c r="AN157" s="117"/>
      <c r="AO157" s="117"/>
      <c r="AP157" s="117"/>
      <c r="AQ157" s="117"/>
      <c r="AR157" s="117"/>
      <c r="AS157" s="117"/>
      <c r="AT157" s="117"/>
      <c r="AU157" s="117"/>
      <c r="AV157" s="117"/>
      <c r="AW157" s="117"/>
      <c r="AX157" s="117"/>
      <c r="AY157" s="117"/>
      <c r="AZ157" s="117"/>
      <c r="BA157" s="117"/>
      <c r="BB157" s="117"/>
      <c r="BC157" s="117"/>
      <c r="BD157" s="117"/>
      <c r="BE157" s="117"/>
      <c r="BF157" s="117"/>
      <c r="BG157" s="117"/>
      <c r="BH157" s="117"/>
      <c r="BI157" s="117"/>
      <c r="BJ157" s="117"/>
      <c r="BK157" s="117"/>
    </row>
    <row r="158" spans="1:63" x14ac:dyDescent="0.35">
      <c r="A158" s="112" t="s">
        <v>31</v>
      </c>
      <c r="B158" s="114">
        <f>'Initial demand info'!F30</f>
        <v>192564.53910000002</v>
      </c>
      <c r="C158" s="115">
        <f t="shared" ref="C158:F158" si="151">B158+($G158-$B158)/5</f>
        <v>188237.78368000002</v>
      </c>
      <c r="D158" s="115">
        <f t="shared" si="151"/>
        <v>183911.02826000002</v>
      </c>
      <c r="E158" s="115">
        <f t="shared" si="151"/>
        <v>179584.27284000002</v>
      </c>
      <c r="F158" s="115">
        <f t="shared" si="151"/>
        <v>175257.51742000002</v>
      </c>
      <c r="G158" s="116">
        <f>G119</f>
        <v>170930.76200000002</v>
      </c>
      <c r="H158" s="117">
        <f>G158+($L158-$G158)/5</f>
        <v>170704.2096</v>
      </c>
      <c r="I158" s="117">
        <f>H158+($L158-$G158)/5</f>
        <v>170477.65719999999</v>
      </c>
      <c r="J158" s="117">
        <f>I158+($L158-$G158)/5</f>
        <v>170251.10479999997</v>
      </c>
      <c r="K158" s="117">
        <f>J158+($L158-$G158)/5</f>
        <v>170024.55239999996</v>
      </c>
      <c r="L158" s="116">
        <f>L119</f>
        <v>169798</v>
      </c>
      <c r="M158" s="122">
        <f t="shared" si="134"/>
        <v>169571.44759999998</v>
      </c>
      <c r="N158" s="122">
        <f t="shared" si="121"/>
        <v>169344.89519999997</v>
      </c>
      <c r="O158" s="122">
        <f t="shared" si="121"/>
        <v>169118.34279999995</v>
      </c>
      <c r="P158" s="122">
        <f t="shared" si="121"/>
        <v>168891.79039999994</v>
      </c>
      <c r="Q158" s="122">
        <f t="shared" si="121"/>
        <v>168665.23799999992</v>
      </c>
      <c r="R158" s="122">
        <f t="shared" ref="N158:AF168" si="152">Q158+($L158-$G158)/5</f>
        <v>168438.68559999991</v>
      </c>
      <c r="S158" s="122">
        <f t="shared" si="152"/>
        <v>168212.13319999989</v>
      </c>
      <c r="T158" s="122">
        <f t="shared" si="152"/>
        <v>167985.58079999988</v>
      </c>
      <c r="U158" s="122">
        <f t="shared" si="152"/>
        <v>167759.02839999986</v>
      </c>
      <c r="V158" s="122">
        <f t="shared" si="152"/>
        <v>167532.47599999985</v>
      </c>
      <c r="W158" s="122">
        <f>V158</f>
        <v>167532.47599999985</v>
      </c>
      <c r="X158" s="122">
        <f t="shared" ref="X158:AF158" si="153">W158</f>
        <v>167532.47599999985</v>
      </c>
      <c r="Y158" s="122">
        <f t="shared" si="153"/>
        <v>167532.47599999985</v>
      </c>
      <c r="Z158" s="122">
        <f t="shared" si="153"/>
        <v>167532.47599999985</v>
      </c>
      <c r="AA158" s="122">
        <f t="shared" si="153"/>
        <v>167532.47599999985</v>
      </c>
      <c r="AB158" s="122">
        <f t="shared" si="153"/>
        <v>167532.47599999985</v>
      </c>
      <c r="AC158" s="122">
        <f t="shared" si="153"/>
        <v>167532.47599999985</v>
      </c>
      <c r="AD158" s="122">
        <f t="shared" si="153"/>
        <v>167532.47599999985</v>
      </c>
      <c r="AE158" s="122">
        <f t="shared" si="153"/>
        <v>167532.47599999985</v>
      </c>
      <c r="AF158" s="122">
        <f t="shared" si="153"/>
        <v>167532.47599999985</v>
      </c>
      <c r="AG158" s="121">
        <f>SUM(AG159:AG163)</f>
        <v>1</v>
      </c>
      <c r="AH158" s="117">
        <f t="shared" ref="AH158:AQ158" si="154">N119</f>
        <v>1</v>
      </c>
      <c r="AI158" s="117">
        <f t="shared" si="154"/>
        <v>1</v>
      </c>
      <c r="AJ158" s="117">
        <f t="shared" si="154"/>
        <v>1</v>
      </c>
      <c r="AK158" s="117">
        <f t="shared" si="154"/>
        <v>1.0000000000000002</v>
      </c>
      <c r="AL158" s="117">
        <f t="shared" si="154"/>
        <v>1.0000000000000002</v>
      </c>
      <c r="AM158" s="117">
        <f t="shared" si="154"/>
        <v>1.0000000000000002</v>
      </c>
      <c r="AN158" s="117">
        <f t="shared" si="154"/>
        <v>1</v>
      </c>
      <c r="AO158" s="117">
        <f t="shared" si="154"/>
        <v>1</v>
      </c>
      <c r="AP158" s="117">
        <f t="shared" si="154"/>
        <v>1</v>
      </c>
      <c r="AQ158" s="117">
        <f t="shared" si="154"/>
        <v>1</v>
      </c>
      <c r="AR158" s="117">
        <f t="shared" si="119"/>
        <v>1</v>
      </c>
      <c r="AS158" s="117">
        <f t="shared" si="150"/>
        <v>1</v>
      </c>
      <c r="AT158" s="117">
        <f t="shared" si="150"/>
        <v>1</v>
      </c>
      <c r="AU158" s="117">
        <f t="shared" si="150"/>
        <v>1</v>
      </c>
      <c r="AV158" s="117">
        <f t="shared" si="150"/>
        <v>1</v>
      </c>
      <c r="AW158" s="117">
        <f t="shared" si="150"/>
        <v>1</v>
      </c>
      <c r="AX158" s="117">
        <f t="shared" si="150"/>
        <v>1</v>
      </c>
      <c r="AY158" s="117">
        <f t="shared" si="150"/>
        <v>1</v>
      </c>
      <c r="AZ158" s="117">
        <f t="shared" si="150"/>
        <v>1</v>
      </c>
      <c r="BA158" s="117">
        <f t="shared" si="150"/>
        <v>1</v>
      </c>
      <c r="BB158" s="117">
        <f t="shared" si="150"/>
        <v>1</v>
      </c>
      <c r="BC158" s="117">
        <f t="shared" si="150"/>
        <v>1</v>
      </c>
      <c r="BD158" s="117">
        <f t="shared" si="150"/>
        <v>1</v>
      </c>
      <c r="BE158" s="117">
        <f t="shared" si="150"/>
        <v>1</v>
      </c>
      <c r="BF158" s="117">
        <f t="shared" si="150"/>
        <v>1</v>
      </c>
      <c r="BG158" s="117">
        <f t="shared" si="150"/>
        <v>1</v>
      </c>
      <c r="BH158" s="117">
        <f t="shared" si="150"/>
        <v>1</v>
      </c>
      <c r="BI158" s="117">
        <f t="shared" si="150"/>
        <v>1</v>
      </c>
      <c r="BJ158" s="117">
        <f t="shared" si="150"/>
        <v>1</v>
      </c>
      <c r="BK158" s="117">
        <f t="shared" si="150"/>
        <v>1</v>
      </c>
    </row>
    <row r="159" spans="1:63" x14ac:dyDescent="0.35">
      <c r="A159" s="112" t="s">
        <v>13</v>
      </c>
      <c r="B159" s="114">
        <f>'Initial demand info'!F31</f>
        <v>30117.036370000005</v>
      </c>
      <c r="C159" s="115">
        <f t="shared" ref="C159:L163" si="155">C$119*$AG159</f>
        <v>29440.333115302812</v>
      </c>
      <c r="D159" s="115">
        <f t="shared" si="155"/>
        <v>28763.629860605623</v>
      </c>
      <c r="E159" s="115">
        <f t="shared" si="155"/>
        <v>28086.926605908429</v>
      </c>
      <c r="F159" s="115">
        <f t="shared" si="155"/>
        <v>27410.223351211236</v>
      </c>
      <c r="G159" s="115">
        <f t="shared" si="155"/>
        <v>26733.520096514047</v>
      </c>
      <c r="H159" s="115">
        <f t="shared" si="155"/>
        <v>26698.087368856082</v>
      </c>
      <c r="I159" s="115">
        <f t="shared" si="155"/>
        <v>26662.654641198122</v>
      </c>
      <c r="J159" s="115">
        <f t="shared" si="155"/>
        <v>26627.221913540161</v>
      </c>
      <c r="K159" s="115">
        <f t="shared" si="155"/>
        <v>26591.789185882197</v>
      </c>
      <c r="L159" s="115">
        <f t="shared" si="155"/>
        <v>26556.356458224247</v>
      </c>
      <c r="M159" s="122">
        <f t="shared" si="134"/>
        <v>26520.923730566286</v>
      </c>
      <c r="N159" s="122">
        <f t="shared" si="152"/>
        <v>26485.491002908326</v>
      </c>
      <c r="O159" s="122">
        <f t="shared" si="152"/>
        <v>26450.058275250365</v>
      </c>
      <c r="P159" s="122">
        <f t="shared" si="152"/>
        <v>26414.625547592404</v>
      </c>
      <c r="Q159" s="122">
        <f t="shared" si="152"/>
        <v>26379.192819934444</v>
      </c>
      <c r="R159" s="122">
        <f t="shared" si="152"/>
        <v>26343.760092276483</v>
      </c>
      <c r="S159" s="122">
        <f t="shared" si="152"/>
        <v>26308.327364618523</v>
      </c>
      <c r="T159" s="122">
        <f t="shared" si="152"/>
        <v>26272.894636960562</v>
      </c>
      <c r="U159" s="122">
        <f t="shared" si="152"/>
        <v>26237.461909302601</v>
      </c>
      <c r="V159" s="122">
        <f t="shared" si="152"/>
        <v>26202.029181644641</v>
      </c>
      <c r="W159" s="122">
        <f t="shared" si="152"/>
        <v>26166.59645398668</v>
      </c>
      <c r="X159" s="122">
        <f t="shared" si="152"/>
        <v>26131.163726328719</v>
      </c>
      <c r="Y159" s="122">
        <f t="shared" si="152"/>
        <v>26095.730998670759</v>
      </c>
      <c r="Z159" s="122">
        <f t="shared" si="152"/>
        <v>26060.298271012798</v>
      </c>
      <c r="AA159" s="122">
        <f t="shared" si="152"/>
        <v>26024.865543354837</v>
      </c>
      <c r="AB159" s="122">
        <f t="shared" si="152"/>
        <v>25989.432815696877</v>
      </c>
      <c r="AC159" s="122">
        <f t="shared" si="152"/>
        <v>25954.000088038916</v>
      </c>
      <c r="AD159" s="122">
        <f t="shared" si="152"/>
        <v>25918.567360380956</v>
      </c>
      <c r="AE159" s="122">
        <f t="shared" si="152"/>
        <v>25883.134632722995</v>
      </c>
      <c r="AF159" s="122">
        <f t="shared" si="152"/>
        <v>25847.701905065034</v>
      </c>
      <c r="AG159" s="117">
        <f t="shared" ref="AG159:AQ163" si="156">B159/B$119</f>
        <v>0.15639970116387852</v>
      </c>
      <c r="AH159" s="117">
        <f t="shared" si="156"/>
        <v>0.15639970116387852</v>
      </c>
      <c r="AI159" s="117">
        <f t="shared" si="156"/>
        <v>0.15639970116387852</v>
      </c>
      <c r="AJ159" s="117">
        <f t="shared" si="156"/>
        <v>0.15639970116387852</v>
      </c>
      <c r="AK159" s="117">
        <f t="shared" si="156"/>
        <v>0.15639970116387852</v>
      </c>
      <c r="AL159" s="117">
        <f t="shared" si="156"/>
        <v>0.15639970116387852</v>
      </c>
      <c r="AM159" s="117">
        <f t="shared" si="156"/>
        <v>0.15639970116387852</v>
      </c>
      <c r="AN159" s="117">
        <f t="shared" si="156"/>
        <v>0.15639970116387852</v>
      </c>
      <c r="AO159" s="117">
        <f t="shared" si="156"/>
        <v>0.15639970116387852</v>
      </c>
      <c r="AP159" s="117">
        <f t="shared" si="156"/>
        <v>0.15639970116387852</v>
      </c>
      <c r="AQ159" s="117">
        <f t="shared" si="156"/>
        <v>0.15639970116387852</v>
      </c>
      <c r="AR159" s="117">
        <f t="shared" si="119"/>
        <v>0.15639970116387852</v>
      </c>
      <c r="AS159" s="117">
        <f t="shared" si="150"/>
        <v>0.15639970116387852</v>
      </c>
      <c r="AT159" s="117">
        <f t="shared" si="150"/>
        <v>0.15639970116387852</v>
      </c>
      <c r="AU159" s="117">
        <f t="shared" si="150"/>
        <v>0.15639970116387852</v>
      </c>
      <c r="AV159" s="117">
        <f t="shared" si="150"/>
        <v>0.15639970116387852</v>
      </c>
      <c r="AW159" s="117">
        <f t="shared" si="150"/>
        <v>0.15639970116387852</v>
      </c>
      <c r="AX159" s="117">
        <f t="shared" si="150"/>
        <v>0.15639970116387852</v>
      </c>
      <c r="AY159" s="117">
        <f t="shared" si="150"/>
        <v>0.15639970116387852</v>
      </c>
      <c r="AZ159" s="117">
        <f t="shared" si="150"/>
        <v>0.15639970116387852</v>
      </c>
      <c r="BA159" s="117">
        <f t="shared" si="150"/>
        <v>0.15639970116387852</v>
      </c>
      <c r="BB159" s="117">
        <f t="shared" si="150"/>
        <v>0.15639970116387852</v>
      </c>
      <c r="BC159" s="117">
        <f t="shared" si="150"/>
        <v>0.15639970116387852</v>
      </c>
      <c r="BD159" s="117">
        <f t="shared" si="150"/>
        <v>0.15639970116387852</v>
      </c>
      <c r="BE159" s="117">
        <f t="shared" si="150"/>
        <v>0.15639970116387852</v>
      </c>
      <c r="BF159" s="117">
        <f t="shared" si="150"/>
        <v>0.15639970116387852</v>
      </c>
      <c r="BG159" s="117">
        <f t="shared" si="150"/>
        <v>0.15639970116387852</v>
      </c>
      <c r="BH159" s="117">
        <f t="shared" si="150"/>
        <v>0.15639970116387852</v>
      </c>
      <c r="BI159" s="117">
        <f t="shared" si="150"/>
        <v>0.15639970116387852</v>
      </c>
      <c r="BJ159" s="117">
        <f t="shared" si="150"/>
        <v>0.15639970116387852</v>
      </c>
      <c r="BK159" s="117">
        <f t="shared" si="150"/>
        <v>0.15639970116387852</v>
      </c>
    </row>
    <row r="160" spans="1:63" x14ac:dyDescent="0.35">
      <c r="A160" s="112" t="s">
        <v>12</v>
      </c>
      <c r="B160" s="114">
        <f>'Initial demand info'!F32</f>
        <v>3405.97343</v>
      </c>
      <c r="C160" s="115">
        <f t="shared" si="155"/>
        <v>3329.4442098875911</v>
      </c>
      <c r="D160" s="115">
        <f t="shared" si="155"/>
        <v>3252.9149897751818</v>
      </c>
      <c r="E160" s="115">
        <f t="shared" si="155"/>
        <v>3176.3857696627729</v>
      </c>
      <c r="F160" s="115">
        <f t="shared" si="155"/>
        <v>3099.856549550364</v>
      </c>
      <c r="G160" s="115">
        <f t="shared" si="155"/>
        <v>3023.3273294379551</v>
      </c>
      <c r="H160" s="115">
        <f t="shared" si="155"/>
        <v>3019.3201978107654</v>
      </c>
      <c r="I160" s="115">
        <f t="shared" si="155"/>
        <v>3015.3130661835758</v>
      </c>
      <c r="J160" s="115">
        <f t="shared" si="155"/>
        <v>3011.3059345563865</v>
      </c>
      <c r="K160" s="115">
        <f t="shared" si="155"/>
        <v>3007.2988029291969</v>
      </c>
      <c r="L160" s="115">
        <f t="shared" si="155"/>
        <v>3003.2916713020081</v>
      </c>
      <c r="M160" s="122">
        <f t="shared" si="134"/>
        <v>2999.2845396748189</v>
      </c>
      <c r="N160" s="122">
        <f t="shared" si="152"/>
        <v>2995.2774080476297</v>
      </c>
      <c r="O160" s="122">
        <f t="shared" si="152"/>
        <v>2991.2702764204405</v>
      </c>
      <c r="P160" s="122">
        <f t="shared" si="152"/>
        <v>2987.2631447932513</v>
      </c>
      <c r="Q160" s="122">
        <f t="shared" si="152"/>
        <v>2983.2560131660621</v>
      </c>
      <c r="R160" s="122">
        <f t="shared" si="152"/>
        <v>2979.2488815388729</v>
      </c>
      <c r="S160" s="122">
        <f t="shared" si="152"/>
        <v>2975.2417499116837</v>
      </c>
      <c r="T160" s="122">
        <f t="shared" si="152"/>
        <v>2971.2346182844944</v>
      </c>
      <c r="U160" s="122">
        <f t="shared" si="152"/>
        <v>2967.2274866573052</v>
      </c>
      <c r="V160" s="122">
        <f t="shared" si="152"/>
        <v>2963.220355030116</v>
      </c>
      <c r="W160" s="122">
        <f t="shared" si="152"/>
        <v>2959.2132234029268</v>
      </c>
      <c r="X160" s="122">
        <f t="shared" si="152"/>
        <v>2955.2060917757376</v>
      </c>
      <c r="Y160" s="122">
        <f t="shared" si="152"/>
        <v>2951.1989601485484</v>
      </c>
      <c r="Z160" s="122">
        <f t="shared" si="152"/>
        <v>2947.1918285213592</v>
      </c>
      <c r="AA160" s="122">
        <f t="shared" si="152"/>
        <v>2943.18469689417</v>
      </c>
      <c r="AB160" s="122">
        <f t="shared" si="152"/>
        <v>2939.1775652669808</v>
      </c>
      <c r="AC160" s="122">
        <f t="shared" si="152"/>
        <v>2935.1704336397916</v>
      </c>
      <c r="AD160" s="122">
        <f t="shared" si="152"/>
        <v>2931.1633020126023</v>
      </c>
      <c r="AE160" s="122">
        <f t="shared" si="152"/>
        <v>2927.1561703854131</v>
      </c>
      <c r="AF160" s="122">
        <f t="shared" si="152"/>
        <v>2923.1490387582239</v>
      </c>
      <c r="AG160" s="117">
        <f t="shared" si="156"/>
        <v>1.7687438434504578E-2</v>
      </c>
      <c r="AH160" s="117">
        <f t="shared" si="156"/>
        <v>1.7687438434504578E-2</v>
      </c>
      <c r="AI160" s="117">
        <f t="shared" si="156"/>
        <v>1.7687438434504578E-2</v>
      </c>
      <c r="AJ160" s="117">
        <f t="shared" si="156"/>
        <v>1.7687438434504578E-2</v>
      </c>
      <c r="AK160" s="117">
        <f t="shared" si="156"/>
        <v>1.7687438434504578E-2</v>
      </c>
      <c r="AL160" s="117">
        <f t="shared" si="156"/>
        <v>1.7687438434504578E-2</v>
      </c>
      <c r="AM160" s="117">
        <f t="shared" si="156"/>
        <v>1.7687438434504578E-2</v>
      </c>
      <c r="AN160" s="117">
        <f t="shared" si="156"/>
        <v>1.7687438434504578E-2</v>
      </c>
      <c r="AO160" s="117">
        <f t="shared" si="156"/>
        <v>1.7687438434504578E-2</v>
      </c>
      <c r="AP160" s="117">
        <f t="shared" si="156"/>
        <v>1.7687438434504578E-2</v>
      </c>
      <c r="AQ160" s="117">
        <f t="shared" si="156"/>
        <v>1.7687438434504578E-2</v>
      </c>
      <c r="AR160" s="117">
        <f t="shared" si="119"/>
        <v>1.7687438434504578E-2</v>
      </c>
      <c r="AS160" s="117">
        <f t="shared" si="150"/>
        <v>1.7687438434504578E-2</v>
      </c>
      <c r="AT160" s="117">
        <f t="shared" si="150"/>
        <v>1.7687438434504578E-2</v>
      </c>
      <c r="AU160" s="117">
        <f t="shared" si="150"/>
        <v>1.7687438434504578E-2</v>
      </c>
      <c r="AV160" s="117">
        <f t="shared" si="150"/>
        <v>1.7687438434504578E-2</v>
      </c>
      <c r="AW160" s="117">
        <f t="shared" si="150"/>
        <v>1.7687438434504578E-2</v>
      </c>
      <c r="AX160" s="117">
        <f t="shared" si="150"/>
        <v>1.7687438434504578E-2</v>
      </c>
      <c r="AY160" s="117">
        <f t="shared" si="150"/>
        <v>1.7687438434504578E-2</v>
      </c>
      <c r="AZ160" s="117">
        <f t="shared" si="150"/>
        <v>1.7687438434504578E-2</v>
      </c>
      <c r="BA160" s="117">
        <f t="shared" si="150"/>
        <v>1.7687438434504578E-2</v>
      </c>
      <c r="BB160" s="117">
        <f t="shared" si="150"/>
        <v>1.7687438434504578E-2</v>
      </c>
      <c r="BC160" s="117">
        <f t="shared" si="150"/>
        <v>1.7687438434504578E-2</v>
      </c>
      <c r="BD160" s="117">
        <f t="shared" si="150"/>
        <v>1.7687438434504578E-2</v>
      </c>
      <c r="BE160" s="117">
        <f t="shared" si="150"/>
        <v>1.7687438434504578E-2</v>
      </c>
      <c r="BF160" s="117">
        <f t="shared" si="150"/>
        <v>1.7687438434504578E-2</v>
      </c>
      <c r="BG160" s="117">
        <f t="shared" si="150"/>
        <v>1.7687438434504578E-2</v>
      </c>
      <c r="BH160" s="117">
        <f t="shared" si="150"/>
        <v>1.7687438434504578E-2</v>
      </c>
      <c r="BI160" s="117">
        <f t="shared" si="150"/>
        <v>1.7687438434504578E-2</v>
      </c>
      <c r="BJ160" s="117">
        <f t="shared" si="150"/>
        <v>1.7687438434504578E-2</v>
      </c>
      <c r="BK160" s="117">
        <f t="shared" si="150"/>
        <v>1.7687438434504578E-2</v>
      </c>
    </row>
    <row r="161" spans="1:63" x14ac:dyDescent="0.35">
      <c r="A161" s="112" t="s">
        <v>11</v>
      </c>
      <c r="B161" s="114">
        <f>'Initial demand info'!F33</f>
        <v>75259.253530000002</v>
      </c>
      <c r="C161" s="115">
        <f t="shared" si="155"/>
        <v>73568.244455130931</v>
      </c>
      <c r="D161" s="115">
        <f t="shared" si="155"/>
        <v>71877.235380261845</v>
      </c>
      <c r="E161" s="115">
        <f t="shared" si="155"/>
        <v>70186.22630539276</v>
      </c>
      <c r="F161" s="115">
        <f t="shared" si="155"/>
        <v>68495.217230523689</v>
      </c>
      <c r="G161" s="115">
        <f t="shared" si="155"/>
        <v>66804.208155654604</v>
      </c>
      <c r="H161" s="115">
        <f t="shared" si="155"/>
        <v>66715.665557992965</v>
      </c>
      <c r="I161" s="115">
        <f t="shared" si="155"/>
        <v>66627.122960331326</v>
      </c>
      <c r="J161" s="115">
        <f t="shared" si="155"/>
        <v>66538.580362669672</v>
      </c>
      <c r="K161" s="115">
        <f t="shared" si="155"/>
        <v>66450.037765008034</v>
      </c>
      <c r="L161" s="115">
        <f t="shared" si="155"/>
        <v>66361.495167346409</v>
      </c>
      <c r="M161" s="122">
        <f t="shared" si="134"/>
        <v>66272.95256968477</v>
      </c>
      <c r="N161" s="122">
        <f t="shared" si="152"/>
        <v>66184.409972023132</v>
      </c>
      <c r="O161" s="122">
        <f t="shared" si="152"/>
        <v>66095.867374361493</v>
      </c>
      <c r="P161" s="122">
        <f t="shared" si="152"/>
        <v>66007.324776699854</v>
      </c>
      <c r="Q161" s="122">
        <f t="shared" si="152"/>
        <v>65918.782179038215</v>
      </c>
      <c r="R161" s="122">
        <f t="shared" si="152"/>
        <v>65830.239581376576</v>
      </c>
      <c r="S161" s="122">
        <f t="shared" si="152"/>
        <v>65741.696983714937</v>
      </c>
      <c r="T161" s="122">
        <f t="shared" si="152"/>
        <v>65653.154386053298</v>
      </c>
      <c r="U161" s="122">
        <f t="shared" si="152"/>
        <v>65564.61178839166</v>
      </c>
      <c r="V161" s="122">
        <f t="shared" si="152"/>
        <v>65476.069190730021</v>
      </c>
      <c r="W161" s="122">
        <f t="shared" si="152"/>
        <v>65387.526593068382</v>
      </c>
      <c r="X161" s="122">
        <f t="shared" si="152"/>
        <v>65298.983995406743</v>
      </c>
      <c r="Y161" s="122">
        <f t="shared" si="152"/>
        <v>65210.441397745104</v>
      </c>
      <c r="Z161" s="122">
        <f t="shared" si="152"/>
        <v>65121.898800083465</v>
      </c>
      <c r="AA161" s="122">
        <f t="shared" si="152"/>
        <v>65033.356202421826</v>
      </c>
      <c r="AB161" s="122">
        <f t="shared" si="152"/>
        <v>64944.813604760187</v>
      </c>
      <c r="AC161" s="122">
        <f t="shared" si="152"/>
        <v>64856.271007098549</v>
      </c>
      <c r="AD161" s="122">
        <f t="shared" si="152"/>
        <v>64767.72840943691</v>
      </c>
      <c r="AE161" s="122">
        <f t="shared" si="152"/>
        <v>64679.185811775271</v>
      </c>
      <c r="AF161" s="122">
        <f t="shared" si="152"/>
        <v>64590.643214113632</v>
      </c>
      <c r="AG161" s="117">
        <f t="shared" si="156"/>
        <v>0.39082612967965707</v>
      </c>
      <c r="AH161" s="117">
        <f t="shared" si="156"/>
        <v>0.39082612967965713</v>
      </c>
      <c r="AI161" s="117">
        <f t="shared" si="156"/>
        <v>0.39082612967965707</v>
      </c>
      <c r="AJ161" s="117">
        <f t="shared" si="156"/>
        <v>0.39082612967965702</v>
      </c>
      <c r="AK161" s="117">
        <f t="shared" si="156"/>
        <v>0.39082612967965707</v>
      </c>
      <c r="AL161" s="117">
        <f t="shared" si="156"/>
        <v>0.39082612967965707</v>
      </c>
      <c r="AM161" s="117">
        <f t="shared" si="156"/>
        <v>0.39082612967965707</v>
      </c>
      <c r="AN161" s="117">
        <f t="shared" si="156"/>
        <v>0.39082612967965713</v>
      </c>
      <c r="AO161" s="117">
        <f t="shared" si="156"/>
        <v>0.39082612967965707</v>
      </c>
      <c r="AP161" s="117">
        <f t="shared" si="156"/>
        <v>0.39082612967965707</v>
      </c>
      <c r="AQ161" s="117">
        <f t="shared" si="156"/>
        <v>0.39082612967965707</v>
      </c>
      <c r="AR161" s="117">
        <f t="shared" si="119"/>
        <v>0.39082612967965707</v>
      </c>
      <c r="AS161" s="117">
        <f t="shared" si="150"/>
        <v>0.39082612967965707</v>
      </c>
      <c r="AT161" s="117">
        <f t="shared" si="150"/>
        <v>0.39082612967965707</v>
      </c>
      <c r="AU161" s="117">
        <f t="shared" si="150"/>
        <v>0.39082612967965707</v>
      </c>
      <c r="AV161" s="117">
        <f t="shared" si="150"/>
        <v>0.39082612967965707</v>
      </c>
      <c r="AW161" s="117">
        <f t="shared" si="150"/>
        <v>0.39082612967965707</v>
      </c>
      <c r="AX161" s="117">
        <f t="shared" si="150"/>
        <v>0.39082612967965707</v>
      </c>
      <c r="AY161" s="117">
        <f t="shared" si="150"/>
        <v>0.39082612967965707</v>
      </c>
      <c r="AZ161" s="117">
        <f t="shared" si="150"/>
        <v>0.39082612967965707</v>
      </c>
      <c r="BA161" s="117">
        <f t="shared" si="150"/>
        <v>0.39082612967965707</v>
      </c>
      <c r="BB161" s="117">
        <f t="shared" si="150"/>
        <v>0.39082612967965707</v>
      </c>
      <c r="BC161" s="117">
        <f t="shared" si="150"/>
        <v>0.39082612967965707</v>
      </c>
      <c r="BD161" s="117">
        <f t="shared" si="150"/>
        <v>0.39082612967965707</v>
      </c>
      <c r="BE161" s="117">
        <f t="shared" si="150"/>
        <v>0.39082612967965707</v>
      </c>
      <c r="BF161" s="117">
        <f t="shared" si="150"/>
        <v>0.39082612967965707</v>
      </c>
      <c r="BG161" s="117">
        <f t="shared" si="150"/>
        <v>0.39082612967965707</v>
      </c>
      <c r="BH161" s="117">
        <f t="shared" si="150"/>
        <v>0.39082612967965707</v>
      </c>
      <c r="BI161" s="117">
        <f t="shared" si="150"/>
        <v>0.39082612967965707</v>
      </c>
      <c r="BJ161" s="117">
        <f t="shared" si="150"/>
        <v>0.39082612967965707</v>
      </c>
      <c r="BK161" s="117">
        <f t="shared" si="150"/>
        <v>0.39082612967965707</v>
      </c>
    </row>
    <row r="162" spans="1:63" x14ac:dyDescent="0.35">
      <c r="A162" s="112" t="s">
        <v>9</v>
      </c>
      <c r="B162" s="114">
        <f>'Initial demand info'!F34</f>
        <v>77807.363270000002</v>
      </c>
      <c r="C162" s="115">
        <f t="shared" si="155"/>
        <v>76059.100415801513</v>
      </c>
      <c r="D162" s="115">
        <f t="shared" si="155"/>
        <v>74310.837561603024</v>
      </c>
      <c r="E162" s="115">
        <f t="shared" si="155"/>
        <v>72562.57470740455</v>
      </c>
      <c r="F162" s="115">
        <f t="shared" si="155"/>
        <v>70814.311853206062</v>
      </c>
      <c r="G162" s="115">
        <f t="shared" si="155"/>
        <v>69066.048999007588</v>
      </c>
      <c r="H162" s="115">
        <f t="shared" si="155"/>
        <v>68974.508547328995</v>
      </c>
      <c r="I162" s="115">
        <f t="shared" si="155"/>
        <v>68882.968095650416</v>
      </c>
      <c r="J162" s="115">
        <f t="shared" si="155"/>
        <v>68791.427643971838</v>
      </c>
      <c r="K162" s="115">
        <f t="shared" si="155"/>
        <v>68699.887192293259</v>
      </c>
      <c r="L162" s="115">
        <f t="shared" si="155"/>
        <v>68608.34674061471</v>
      </c>
      <c r="M162" s="122">
        <f t="shared" si="134"/>
        <v>68516.806288936132</v>
      </c>
      <c r="N162" s="122">
        <f t="shared" si="152"/>
        <v>68425.265837257553</v>
      </c>
      <c r="O162" s="122">
        <f t="shared" si="152"/>
        <v>68333.725385578975</v>
      </c>
      <c r="P162" s="122">
        <f t="shared" si="152"/>
        <v>68242.184933900397</v>
      </c>
      <c r="Q162" s="122">
        <f t="shared" si="152"/>
        <v>68150.644482221818</v>
      </c>
      <c r="R162" s="122">
        <f t="shared" si="152"/>
        <v>68059.10403054324</v>
      </c>
      <c r="S162" s="122">
        <f t="shared" si="152"/>
        <v>67967.563578864661</v>
      </c>
      <c r="T162" s="122">
        <f t="shared" si="152"/>
        <v>67876.023127186083</v>
      </c>
      <c r="U162" s="122">
        <f t="shared" si="152"/>
        <v>67784.482675507505</v>
      </c>
      <c r="V162" s="122">
        <f t="shared" si="152"/>
        <v>67692.942223828926</v>
      </c>
      <c r="W162" s="122">
        <f t="shared" si="152"/>
        <v>67601.401772150348</v>
      </c>
      <c r="X162" s="122">
        <f t="shared" si="152"/>
        <v>67509.861320471769</v>
      </c>
      <c r="Y162" s="122">
        <f t="shared" si="152"/>
        <v>67418.320868793191</v>
      </c>
      <c r="Z162" s="122">
        <f t="shared" si="152"/>
        <v>67326.780417114613</v>
      </c>
      <c r="AA162" s="122">
        <f t="shared" si="152"/>
        <v>67235.239965436034</v>
      </c>
      <c r="AB162" s="122">
        <f t="shared" si="152"/>
        <v>67143.699513757456</v>
      </c>
      <c r="AC162" s="122">
        <f t="shared" si="152"/>
        <v>67052.159062078877</v>
      </c>
      <c r="AD162" s="122">
        <f t="shared" si="152"/>
        <v>66960.618610400299</v>
      </c>
      <c r="AE162" s="122">
        <f t="shared" si="152"/>
        <v>66869.078158721721</v>
      </c>
      <c r="AF162" s="122">
        <f t="shared" si="152"/>
        <v>66777.537707043142</v>
      </c>
      <c r="AG162" s="117">
        <f t="shared" si="156"/>
        <v>0.40405862696035705</v>
      </c>
      <c r="AH162" s="117">
        <f t="shared" si="156"/>
        <v>0.40405862696035705</v>
      </c>
      <c r="AI162" s="117">
        <f t="shared" si="156"/>
        <v>0.40405862696035699</v>
      </c>
      <c r="AJ162" s="117">
        <f t="shared" si="156"/>
        <v>0.40405862696035705</v>
      </c>
      <c r="AK162" s="117">
        <f t="shared" si="156"/>
        <v>0.40405862696035705</v>
      </c>
      <c r="AL162" s="117">
        <f t="shared" si="156"/>
        <v>0.4040586269603571</v>
      </c>
      <c r="AM162" s="117">
        <f t="shared" si="156"/>
        <v>0.40405862696035699</v>
      </c>
      <c r="AN162" s="117">
        <f t="shared" si="156"/>
        <v>0.40405862696035699</v>
      </c>
      <c r="AO162" s="117">
        <f t="shared" si="156"/>
        <v>0.40405862696035705</v>
      </c>
      <c r="AP162" s="117">
        <f t="shared" si="156"/>
        <v>0.40405862696035705</v>
      </c>
      <c r="AQ162" s="117">
        <f t="shared" si="156"/>
        <v>0.40405862696035705</v>
      </c>
      <c r="AR162" s="117">
        <f t="shared" si="119"/>
        <v>0.40405862696035705</v>
      </c>
      <c r="AS162" s="117">
        <f t="shared" si="150"/>
        <v>0.40405862696035705</v>
      </c>
      <c r="AT162" s="117">
        <f t="shared" si="150"/>
        <v>0.40405862696035705</v>
      </c>
      <c r="AU162" s="117">
        <f t="shared" si="150"/>
        <v>0.40405862696035705</v>
      </c>
      <c r="AV162" s="117">
        <f t="shared" si="150"/>
        <v>0.40405862696035705</v>
      </c>
      <c r="AW162" s="117">
        <f t="shared" si="150"/>
        <v>0.40405862696035705</v>
      </c>
      <c r="AX162" s="117">
        <f t="shared" si="150"/>
        <v>0.40405862696035705</v>
      </c>
      <c r="AY162" s="117">
        <f t="shared" si="150"/>
        <v>0.40405862696035705</v>
      </c>
      <c r="AZ162" s="117">
        <f t="shared" si="150"/>
        <v>0.40405862696035705</v>
      </c>
      <c r="BA162" s="117">
        <f t="shared" si="150"/>
        <v>0.40405862696035705</v>
      </c>
      <c r="BB162" s="117">
        <f t="shared" si="150"/>
        <v>0.40405862696035705</v>
      </c>
      <c r="BC162" s="117">
        <f t="shared" si="150"/>
        <v>0.40405862696035705</v>
      </c>
      <c r="BD162" s="117">
        <f t="shared" si="150"/>
        <v>0.40405862696035705</v>
      </c>
      <c r="BE162" s="117">
        <f t="shared" si="150"/>
        <v>0.40405862696035705</v>
      </c>
      <c r="BF162" s="117">
        <f t="shared" si="150"/>
        <v>0.40405862696035705</v>
      </c>
      <c r="BG162" s="117">
        <f t="shared" si="150"/>
        <v>0.40405862696035705</v>
      </c>
      <c r="BH162" s="117">
        <f t="shared" si="150"/>
        <v>0.40405862696035705</v>
      </c>
      <c r="BI162" s="117">
        <f t="shared" si="150"/>
        <v>0.40405862696035705</v>
      </c>
      <c r="BJ162" s="117">
        <f t="shared" si="150"/>
        <v>0.40405862696035705</v>
      </c>
      <c r="BK162" s="117">
        <f t="shared" si="150"/>
        <v>0.40405862696035705</v>
      </c>
    </row>
    <row r="163" spans="1:63" x14ac:dyDescent="0.35">
      <c r="A163" s="112" t="s">
        <v>10</v>
      </c>
      <c r="B163" s="114">
        <f>'Initial demand info'!F35</f>
        <v>5974.9125000000004</v>
      </c>
      <c r="C163" s="115">
        <f t="shared" si="155"/>
        <v>5840.6614838771629</v>
      </c>
      <c r="D163" s="115">
        <f t="shared" si="155"/>
        <v>5706.4104677543264</v>
      </c>
      <c r="E163" s="115">
        <f t="shared" si="155"/>
        <v>5572.159451631489</v>
      </c>
      <c r="F163" s="115">
        <f t="shared" si="155"/>
        <v>5437.9084355086525</v>
      </c>
      <c r="G163" s="115">
        <f t="shared" si="155"/>
        <v>5303.657419385816</v>
      </c>
      <c r="H163" s="115">
        <f t="shared" si="155"/>
        <v>5296.6279280111748</v>
      </c>
      <c r="I163" s="115">
        <f t="shared" si="155"/>
        <v>5289.5984366365346</v>
      </c>
      <c r="J163" s="115">
        <f t="shared" si="155"/>
        <v>5282.5689452618935</v>
      </c>
      <c r="K163" s="115">
        <f t="shared" si="155"/>
        <v>5275.5394538872533</v>
      </c>
      <c r="L163" s="115">
        <f t="shared" si="155"/>
        <v>5268.509962512614</v>
      </c>
      <c r="M163" s="122">
        <f t="shared" si="134"/>
        <v>5261.4804711379738</v>
      </c>
      <c r="N163" s="122">
        <f t="shared" si="152"/>
        <v>5254.4509797633336</v>
      </c>
      <c r="O163" s="122">
        <f t="shared" si="152"/>
        <v>5247.4214883886934</v>
      </c>
      <c r="P163" s="122">
        <f t="shared" si="152"/>
        <v>5240.3919970140532</v>
      </c>
      <c r="Q163" s="122">
        <f t="shared" si="152"/>
        <v>5233.362505639413</v>
      </c>
      <c r="R163" s="122">
        <f t="shared" si="152"/>
        <v>5226.3330142647728</v>
      </c>
      <c r="S163" s="122">
        <f t="shared" si="152"/>
        <v>5219.3035228901326</v>
      </c>
      <c r="T163" s="122">
        <f t="shared" si="152"/>
        <v>5212.2740315154924</v>
      </c>
      <c r="U163" s="122">
        <f t="shared" si="152"/>
        <v>5205.2445401408522</v>
      </c>
      <c r="V163" s="122">
        <f t="shared" si="152"/>
        <v>5198.215048766212</v>
      </c>
      <c r="W163" s="122">
        <f t="shared" si="152"/>
        <v>5191.1855573915718</v>
      </c>
      <c r="X163" s="122">
        <f t="shared" si="152"/>
        <v>5184.1560660169316</v>
      </c>
      <c r="Y163" s="122">
        <f t="shared" si="152"/>
        <v>5177.1265746422914</v>
      </c>
      <c r="Z163" s="122">
        <f t="shared" si="152"/>
        <v>5170.0970832676512</v>
      </c>
      <c r="AA163" s="122">
        <f t="shared" si="152"/>
        <v>5163.067591893011</v>
      </c>
      <c r="AB163" s="122">
        <f t="shared" si="152"/>
        <v>5156.0381005183708</v>
      </c>
      <c r="AC163" s="122">
        <f t="shared" si="152"/>
        <v>5149.0086091437306</v>
      </c>
      <c r="AD163" s="122">
        <f t="shared" si="152"/>
        <v>5141.9791177690904</v>
      </c>
      <c r="AE163" s="122">
        <f t="shared" si="152"/>
        <v>5134.9496263944502</v>
      </c>
      <c r="AF163" s="122">
        <f t="shared" si="152"/>
        <v>5127.92013501981</v>
      </c>
      <c r="AG163" s="117">
        <f t="shared" si="156"/>
        <v>3.1028103761602695E-2</v>
      </c>
      <c r="AH163" s="117">
        <f t="shared" si="156"/>
        <v>3.1028103761602695E-2</v>
      </c>
      <c r="AI163" s="117">
        <f t="shared" si="156"/>
        <v>3.1028103761602695E-2</v>
      </c>
      <c r="AJ163" s="117">
        <f t="shared" si="156"/>
        <v>3.1028103761602692E-2</v>
      </c>
      <c r="AK163" s="117">
        <f t="shared" si="156"/>
        <v>3.1028103761602695E-2</v>
      </c>
      <c r="AL163" s="117">
        <f t="shared" si="156"/>
        <v>3.1028103761602699E-2</v>
      </c>
      <c r="AM163" s="117">
        <f t="shared" si="156"/>
        <v>3.1028103761602695E-2</v>
      </c>
      <c r="AN163" s="117">
        <f t="shared" si="156"/>
        <v>3.1028103761602695E-2</v>
      </c>
      <c r="AO163" s="117">
        <f t="shared" si="156"/>
        <v>3.1028103761602692E-2</v>
      </c>
      <c r="AP163" s="117">
        <f t="shared" si="156"/>
        <v>3.1028103761602695E-2</v>
      </c>
      <c r="AQ163" s="117">
        <f t="shared" si="156"/>
        <v>3.1028103761602692E-2</v>
      </c>
      <c r="AR163" s="117">
        <f t="shared" si="119"/>
        <v>3.1028103761602692E-2</v>
      </c>
      <c r="AS163" s="117">
        <f t="shared" si="150"/>
        <v>3.1028103761602692E-2</v>
      </c>
      <c r="AT163" s="117">
        <f t="shared" si="150"/>
        <v>3.1028103761602692E-2</v>
      </c>
      <c r="AU163" s="117">
        <f t="shared" si="150"/>
        <v>3.1028103761602692E-2</v>
      </c>
      <c r="AV163" s="117">
        <f t="shared" si="150"/>
        <v>3.1028103761602692E-2</v>
      </c>
      <c r="AW163" s="117">
        <f t="shared" si="150"/>
        <v>3.1028103761602692E-2</v>
      </c>
      <c r="AX163" s="117">
        <f t="shared" si="150"/>
        <v>3.1028103761602692E-2</v>
      </c>
      <c r="AY163" s="117">
        <f t="shared" si="150"/>
        <v>3.1028103761602692E-2</v>
      </c>
      <c r="AZ163" s="117">
        <f t="shared" si="150"/>
        <v>3.1028103761602692E-2</v>
      </c>
      <c r="BA163" s="117">
        <f t="shared" si="150"/>
        <v>3.1028103761602692E-2</v>
      </c>
      <c r="BB163" s="117">
        <f t="shared" si="150"/>
        <v>3.1028103761602692E-2</v>
      </c>
      <c r="BC163" s="117">
        <f t="shared" si="150"/>
        <v>3.1028103761602692E-2</v>
      </c>
      <c r="BD163" s="117">
        <f t="shared" si="150"/>
        <v>3.1028103761602692E-2</v>
      </c>
      <c r="BE163" s="117">
        <f t="shared" si="150"/>
        <v>3.1028103761602692E-2</v>
      </c>
      <c r="BF163" s="117">
        <f t="shared" si="150"/>
        <v>3.1028103761602692E-2</v>
      </c>
      <c r="BG163" s="117">
        <f t="shared" si="150"/>
        <v>3.1028103761602692E-2</v>
      </c>
      <c r="BH163" s="117">
        <f t="shared" si="150"/>
        <v>3.1028103761602692E-2</v>
      </c>
      <c r="BI163" s="117">
        <f t="shared" si="150"/>
        <v>3.1028103761602692E-2</v>
      </c>
      <c r="BJ163" s="117">
        <f t="shared" si="150"/>
        <v>3.1028103761602692E-2</v>
      </c>
      <c r="BK163" s="117">
        <f t="shared" si="150"/>
        <v>3.1028103761602692E-2</v>
      </c>
    </row>
    <row r="164" spans="1:63" x14ac:dyDescent="0.35">
      <c r="A164" s="112"/>
      <c r="B164" s="114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22">
        <f t="shared" si="134"/>
        <v>0</v>
      </c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  <c r="AE164" s="122"/>
      <c r="AF164" s="122"/>
      <c r="AG164" s="117"/>
      <c r="AH164" s="117"/>
      <c r="AI164" s="117"/>
      <c r="AJ164" s="117"/>
      <c r="AK164" s="117"/>
      <c r="AL164" s="117"/>
      <c r="AM164" s="117"/>
      <c r="AN164" s="117"/>
      <c r="AO164" s="117"/>
      <c r="AP164" s="117"/>
      <c r="AQ164" s="117"/>
      <c r="AR164" s="117"/>
      <c r="AS164" s="117"/>
      <c r="AT164" s="117"/>
      <c r="AU164" s="117"/>
      <c r="AV164" s="117"/>
      <c r="AW164" s="117"/>
      <c r="AX164" s="117"/>
      <c r="AY164" s="117"/>
      <c r="AZ164" s="117"/>
      <c r="BA164" s="117"/>
      <c r="BB164" s="117"/>
      <c r="BC164" s="117"/>
      <c r="BD164" s="117"/>
      <c r="BE164" s="117"/>
      <c r="BF164" s="117"/>
      <c r="BG164" s="117"/>
      <c r="BH164" s="117"/>
      <c r="BI164" s="117"/>
      <c r="BJ164" s="117"/>
      <c r="BK164" s="117"/>
    </row>
    <row r="165" spans="1:63" x14ac:dyDescent="0.35">
      <c r="A165" s="112" t="s">
        <v>32</v>
      </c>
      <c r="B165" s="114">
        <f>'Initial demand info'!F37</f>
        <v>33322.601640000001</v>
      </c>
      <c r="C165" s="115">
        <f t="shared" ref="C165:F165" si="157">B165+($G165-$B165)/5</f>
        <v>33130.408911999999</v>
      </c>
      <c r="D165" s="115">
        <f t="shared" si="157"/>
        <v>32938.216184000004</v>
      </c>
      <c r="E165" s="115">
        <f t="shared" si="157"/>
        <v>32746.023456000006</v>
      </c>
      <c r="F165" s="115">
        <f t="shared" si="157"/>
        <v>32553.830728000008</v>
      </c>
      <c r="G165" s="116">
        <f t="shared" ref="G165" si="158">G126</f>
        <v>32361.63800000001</v>
      </c>
      <c r="H165" s="117">
        <f>G165+($L165-$G165)/5</f>
        <v>32169.51040000001</v>
      </c>
      <c r="I165" s="117">
        <f t="shared" ref="I165:K165" si="159">H165+($L165-$G165)/5</f>
        <v>31977.38280000001</v>
      </c>
      <c r="J165" s="117">
        <f t="shared" si="159"/>
        <v>31785.255200000011</v>
      </c>
      <c r="K165" s="117">
        <f t="shared" si="159"/>
        <v>31593.127600000011</v>
      </c>
      <c r="L165" s="116">
        <f t="shared" ref="L165" si="160">L126</f>
        <v>31401.000000000004</v>
      </c>
      <c r="M165" s="122">
        <f t="shared" si="134"/>
        <v>31208.872400000004</v>
      </c>
      <c r="N165" s="122">
        <f t="shared" si="152"/>
        <v>31016.744800000004</v>
      </c>
      <c r="O165" s="122">
        <f t="shared" si="152"/>
        <v>30824.617200000004</v>
      </c>
      <c r="P165" s="122">
        <f t="shared" si="152"/>
        <v>30632.489600000004</v>
      </c>
      <c r="Q165" s="122">
        <f t="shared" si="152"/>
        <v>30440.362000000005</v>
      </c>
      <c r="R165" s="122">
        <f t="shared" si="152"/>
        <v>30248.234400000005</v>
      </c>
      <c r="S165" s="122">
        <f t="shared" si="152"/>
        <v>30056.106800000005</v>
      </c>
      <c r="T165" s="122">
        <f t="shared" si="152"/>
        <v>29863.979200000005</v>
      </c>
      <c r="U165" s="122">
        <f t="shared" si="152"/>
        <v>29671.851600000005</v>
      </c>
      <c r="V165" s="122">
        <f t="shared" si="152"/>
        <v>29479.724000000006</v>
      </c>
      <c r="W165" s="122">
        <f>V165</f>
        <v>29479.724000000006</v>
      </c>
      <c r="X165" s="122">
        <f t="shared" ref="X165:AF165" si="161">W165</f>
        <v>29479.724000000006</v>
      </c>
      <c r="Y165" s="122">
        <f t="shared" si="161"/>
        <v>29479.724000000006</v>
      </c>
      <c r="Z165" s="122">
        <f t="shared" si="161"/>
        <v>29479.724000000006</v>
      </c>
      <c r="AA165" s="122">
        <f t="shared" si="161"/>
        <v>29479.724000000006</v>
      </c>
      <c r="AB165" s="122">
        <f t="shared" si="161"/>
        <v>29479.724000000006</v>
      </c>
      <c r="AC165" s="122">
        <f t="shared" si="161"/>
        <v>29479.724000000006</v>
      </c>
      <c r="AD165" s="122">
        <f t="shared" si="161"/>
        <v>29479.724000000006</v>
      </c>
      <c r="AE165" s="122">
        <f t="shared" si="161"/>
        <v>29479.724000000006</v>
      </c>
      <c r="AF165" s="122">
        <f t="shared" si="161"/>
        <v>29479.724000000006</v>
      </c>
      <c r="AG165" s="117">
        <f t="shared" ref="AG165:AQ165" si="162">M126</f>
        <v>1</v>
      </c>
      <c r="AH165" s="117">
        <f t="shared" si="162"/>
        <v>1</v>
      </c>
      <c r="AI165" s="117">
        <f t="shared" si="162"/>
        <v>0.99999999999999978</v>
      </c>
      <c r="AJ165" s="117">
        <f t="shared" si="162"/>
        <v>0.99999999999999978</v>
      </c>
      <c r="AK165" s="117">
        <f t="shared" si="162"/>
        <v>0.99999999999999978</v>
      </c>
      <c r="AL165" s="117">
        <f t="shared" si="162"/>
        <v>0.99999999999999978</v>
      </c>
      <c r="AM165" s="117">
        <f t="shared" si="162"/>
        <v>0.99999999999999967</v>
      </c>
      <c r="AN165" s="117">
        <f t="shared" si="162"/>
        <v>0.99999999999999956</v>
      </c>
      <c r="AO165" s="117">
        <f t="shared" si="162"/>
        <v>0.99999999999999967</v>
      </c>
      <c r="AP165" s="117">
        <f t="shared" si="162"/>
        <v>0.99999999999999956</v>
      </c>
      <c r="AQ165" s="117">
        <f t="shared" si="162"/>
        <v>0.99999999999999989</v>
      </c>
      <c r="AR165" s="117">
        <f t="shared" si="119"/>
        <v>0.99999999999999989</v>
      </c>
      <c r="AS165" s="117">
        <f t="shared" si="150"/>
        <v>0.99999999999999989</v>
      </c>
      <c r="AT165" s="117">
        <f t="shared" si="150"/>
        <v>0.99999999999999989</v>
      </c>
      <c r="AU165" s="117">
        <f t="shared" si="150"/>
        <v>0.99999999999999989</v>
      </c>
      <c r="AV165" s="117">
        <f t="shared" si="150"/>
        <v>0.99999999999999989</v>
      </c>
      <c r="AW165" s="117">
        <f t="shared" si="150"/>
        <v>0.99999999999999989</v>
      </c>
      <c r="AX165" s="117">
        <f t="shared" si="150"/>
        <v>0.99999999999999989</v>
      </c>
      <c r="AY165" s="117">
        <f t="shared" si="150"/>
        <v>0.99999999999999989</v>
      </c>
      <c r="AZ165" s="117">
        <f t="shared" si="150"/>
        <v>0.99999999999999989</v>
      </c>
      <c r="BA165" s="117">
        <f t="shared" si="150"/>
        <v>0.99999999999999989</v>
      </c>
      <c r="BB165" s="117">
        <f t="shared" si="150"/>
        <v>0.99999999999999989</v>
      </c>
      <c r="BC165" s="117">
        <f t="shared" si="150"/>
        <v>0.99999999999999989</v>
      </c>
      <c r="BD165" s="117">
        <f t="shared" si="150"/>
        <v>0.99999999999999989</v>
      </c>
      <c r="BE165" s="117">
        <f t="shared" si="150"/>
        <v>0.99999999999999989</v>
      </c>
      <c r="BF165" s="117">
        <f t="shared" si="150"/>
        <v>0.99999999999999989</v>
      </c>
      <c r="BG165" s="117">
        <f t="shared" si="150"/>
        <v>0.99999999999999989</v>
      </c>
      <c r="BH165" s="117">
        <f t="shared" si="150"/>
        <v>0.99999999999999989</v>
      </c>
      <c r="BI165" s="117">
        <f t="shared" si="150"/>
        <v>0.99999999999999989</v>
      </c>
      <c r="BJ165" s="117">
        <f t="shared" si="150"/>
        <v>0.99999999999999989</v>
      </c>
      <c r="BK165" s="117">
        <f t="shared" si="150"/>
        <v>0.99999999999999989</v>
      </c>
    </row>
    <row r="166" spans="1:63" x14ac:dyDescent="0.35">
      <c r="A166" s="112" t="s">
        <v>29</v>
      </c>
      <c r="B166" s="114">
        <f>'Initial demand info'!F38</f>
        <v>6310.5426700000007</v>
      </c>
      <c r="C166" s="115">
        <f t="shared" ref="C166:L168" si="163">C$126*$AG166</f>
        <v>6274.1457396519263</v>
      </c>
      <c r="D166" s="115">
        <f t="shared" si="163"/>
        <v>6237.7488093038528</v>
      </c>
      <c r="E166" s="115">
        <f t="shared" si="163"/>
        <v>6201.3518789557793</v>
      </c>
      <c r="F166" s="115">
        <f t="shared" si="163"/>
        <v>6164.9549486077049</v>
      </c>
      <c r="G166" s="115">
        <f t="shared" si="163"/>
        <v>6128.5580182596314</v>
      </c>
      <c r="H166" s="115">
        <f t="shared" si="163"/>
        <v>6092.173421673112</v>
      </c>
      <c r="I166" s="115">
        <f t="shared" si="163"/>
        <v>6055.7888250865926</v>
      </c>
      <c r="J166" s="115">
        <f t="shared" si="163"/>
        <v>6019.4042285000733</v>
      </c>
      <c r="K166" s="115">
        <f t="shared" si="163"/>
        <v>5983.0196319135539</v>
      </c>
      <c r="L166" s="115">
        <f t="shared" si="163"/>
        <v>5946.6350353270327</v>
      </c>
      <c r="M166" s="122">
        <f t="shared" si="134"/>
        <v>5910.2504387405133</v>
      </c>
      <c r="N166" s="122">
        <f t="shared" si="152"/>
        <v>5873.865842153994</v>
      </c>
      <c r="O166" s="122">
        <f t="shared" si="152"/>
        <v>5837.4812455674746</v>
      </c>
      <c r="P166" s="122">
        <f t="shared" si="152"/>
        <v>5801.0966489809553</v>
      </c>
      <c r="Q166" s="122">
        <f t="shared" si="152"/>
        <v>5764.7120523944359</v>
      </c>
      <c r="R166" s="122">
        <f t="shared" si="152"/>
        <v>5728.3274558079165</v>
      </c>
      <c r="S166" s="122">
        <f t="shared" si="152"/>
        <v>5691.9428592213972</v>
      </c>
      <c r="T166" s="122">
        <f t="shared" si="152"/>
        <v>5655.5582626348778</v>
      </c>
      <c r="U166" s="122">
        <f t="shared" si="152"/>
        <v>5619.1736660483584</v>
      </c>
      <c r="V166" s="122">
        <f t="shared" si="152"/>
        <v>5582.7890694618391</v>
      </c>
      <c r="W166" s="122">
        <f t="shared" si="152"/>
        <v>5546.4044728753197</v>
      </c>
      <c r="X166" s="122">
        <f t="shared" si="152"/>
        <v>5510.0198762888003</v>
      </c>
      <c r="Y166" s="122">
        <f t="shared" si="152"/>
        <v>5473.635279702281</v>
      </c>
      <c r="Z166" s="122">
        <f t="shared" si="152"/>
        <v>5437.2506831157616</v>
      </c>
      <c r="AA166" s="122">
        <f t="shared" si="152"/>
        <v>5400.8660865292422</v>
      </c>
      <c r="AB166" s="122">
        <f t="shared" si="152"/>
        <v>5364.4814899427229</v>
      </c>
      <c r="AC166" s="122">
        <f t="shared" si="152"/>
        <v>5328.0968933562035</v>
      </c>
      <c r="AD166" s="122">
        <f t="shared" si="152"/>
        <v>5291.7122967696841</v>
      </c>
      <c r="AE166" s="122">
        <f t="shared" si="152"/>
        <v>5255.3277001831648</v>
      </c>
      <c r="AF166" s="122">
        <f t="shared" si="152"/>
        <v>5218.9431035966454</v>
      </c>
      <c r="AG166" s="117">
        <f t="shared" ref="AG166:AQ168" si="164">B166/B$126</f>
        <v>0.18937725025722213</v>
      </c>
      <c r="AH166" s="117">
        <f t="shared" si="164"/>
        <v>0.18937725025722213</v>
      </c>
      <c r="AI166" s="117">
        <f t="shared" si="164"/>
        <v>0.18937725025722213</v>
      </c>
      <c r="AJ166" s="117">
        <f t="shared" si="164"/>
        <v>0.18937725025722213</v>
      </c>
      <c r="AK166" s="117">
        <f t="shared" si="164"/>
        <v>0.18937725025722213</v>
      </c>
      <c r="AL166" s="117">
        <f t="shared" si="164"/>
        <v>0.18937725025722213</v>
      </c>
      <c r="AM166" s="117">
        <f t="shared" si="164"/>
        <v>0.18937725025722213</v>
      </c>
      <c r="AN166" s="117">
        <f t="shared" si="164"/>
        <v>0.18937725025722213</v>
      </c>
      <c r="AO166" s="117">
        <f t="shared" si="164"/>
        <v>0.18937725025722213</v>
      </c>
      <c r="AP166" s="117">
        <f t="shared" si="164"/>
        <v>0.18937725025722213</v>
      </c>
      <c r="AQ166" s="117">
        <f t="shared" si="164"/>
        <v>0.18937725025722213</v>
      </c>
      <c r="AR166" s="117">
        <f t="shared" si="119"/>
        <v>0.18937725025722213</v>
      </c>
      <c r="AS166" s="117">
        <f t="shared" si="150"/>
        <v>0.18937725025722213</v>
      </c>
      <c r="AT166" s="117">
        <f t="shared" si="150"/>
        <v>0.18937725025722213</v>
      </c>
      <c r="AU166" s="117">
        <f t="shared" si="150"/>
        <v>0.18937725025722213</v>
      </c>
      <c r="AV166" s="117">
        <f t="shared" si="150"/>
        <v>0.18937725025722213</v>
      </c>
      <c r="AW166" s="117">
        <f t="shared" si="150"/>
        <v>0.18937725025722213</v>
      </c>
      <c r="AX166" s="117">
        <f t="shared" si="150"/>
        <v>0.18937725025722213</v>
      </c>
      <c r="AY166" s="117">
        <f t="shared" si="150"/>
        <v>0.18937725025722213</v>
      </c>
      <c r="AZ166" s="117">
        <f t="shared" si="150"/>
        <v>0.18937725025722213</v>
      </c>
      <c r="BA166" s="117">
        <f t="shared" si="150"/>
        <v>0.18937725025722213</v>
      </c>
      <c r="BB166" s="117">
        <f t="shared" si="150"/>
        <v>0.18937725025722213</v>
      </c>
      <c r="BC166" s="117">
        <f t="shared" si="150"/>
        <v>0.18937725025722213</v>
      </c>
      <c r="BD166" s="117">
        <f t="shared" si="150"/>
        <v>0.18937725025722213</v>
      </c>
      <c r="BE166" s="117">
        <f t="shared" si="150"/>
        <v>0.18937725025722213</v>
      </c>
      <c r="BF166" s="117">
        <f t="shared" si="150"/>
        <v>0.18937725025722213</v>
      </c>
      <c r="BG166" s="117">
        <f t="shared" si="150"/>
        <v>0.18937725025722213</v>
      </c>
      <c r="BH166" s="117">
        <f t="shared" si="150"/>
        <v>0.18937725025722213</v>
      </c>
      <c r="BI166" s="117">
        <f t="shared" si="150"/>
        <v>0.18937725025722213</v>
      </c>
      <c r="BJ166" s="117">
        <f t="shared" si="150"/>
        <v>0.18937725025722213</v>
      </c>
      <c r="BK166" s="117">
        <f t="shared" si="150"/>
        <v>0.18937725025722213</v>
      </c>
    </row>
    <row r="167" spans="1:63" x14ac:dyDescent="0.35">
      <c r="A167" s="112" t="s">
        <v>28</v>
      </c>
      <c r="B167" s="114">
        <f>'Initial demand info'!F39</f>
        <v>1580.5635200000002</v>
      </c>
      <c r="C167" s="115">
        <f t="shared" si="163"/>
        <v>1571.4474006174894</v>
      </c>
      <c r="D167" s="115">
        <f t="shared" si="163"/>
        <v>1562.3312812349791</v>
      </c>
      <c r="E167" s="115">
        <f t="shared" si="163"/>
        <v>1553.2151618524686</v>
      </c>
      <c r="F167" s="115">
        <f t="shared" si="163"/>
        <v>1544.0990424699582</v>
      </c>
      <c r="G167" s="115">
        <f t="shared" si="163"/>
        <v>1534.9829230874477</v>
      </c>
      <c r="H167" s="115">
        <f t="shared" si="163"/>
        <v>1525.8698928677236</v>
      </c>
      <c r="I167" s="115">
        <f t="shared" si="163"/>
        <v>1516.7568626479992</v>
      </c>
      <c r="J167" s="115">
        <f t="shared" si="163"/>
        <v>1507.6438324282751</v>
      </c>
      <c r="K167" s="115">
        <f t="shared" si="163"/>
        <v>1498.5308022085508</v>
      </c>
      <c r="L167" s="115">
        <f t="shared" si="163"/>
        <v>1489.4177719888262</v>
      </c>
      <c r="M167" s="122">
        <f t="shared" si="134"/>
        <v>1480.3047417691018</v>
      </c>
      <c r="N167" s="122">
        <f t="shared" si="152"/>
        <v>1471.1917115493775</v>
      </c>
      <c r="O167" s="122">
        <f t="shared" si="152"/>
        <v>1462.0786813296531</v>
      </c>
      <c r="P167" s="122">
        <f t="shared" si="152"/>
        <v>1452.9656511099288</v>
      </c>
      <c r="Q167" s="122">
        <f t="shared" si="152"/>
        <v>1443.8526208902044</v>
      </c>
      <c r="R167" s="122">
        <f t="shared" si="152"/>
        <v>1434.7395906704801</v>
      </c>
      <c r="S167" s="122">
        <f t="shared" si="152"/>
        <v>1425.6265604507557</v>
      </c>
      <c r="T167" s="122">
        <f t="shared" si="152"/>
        <v>1416.5135302310314</v>
      </c>
      <c r="U167" s="122">
        <f t="shared" si="152"/>
        <v>1407.400500011307</v>
      </c>
      <c r="V167" s="122">
        <f t="shared" si="152"/>
        <v>1398.2874697915827</v>
      </c>
      <c r="W167" s="122">
        <f t="shared" si="152"/>
        <v>1389.1744395718583</v>
      </c>
      <c r="X167" s="122">
        <f t="shared" si="152"/>
        <v>1380.061409352134</v>
      </c>
      <c r="Y167" s="122">
        <f t="shared" si="152"/>
        <v>1370.9483791324096</v>
      </c>
      <c r="Z167" s="122">
        <f t="shared" si="152"/>
        <v>1361.8353489126853</v>
      </c>
      <c r="AA167" s="122">
        <f t="shared" si="152"/>
        <v>1352.7223186929609</v>
      </c>
      <c r="AB167" s="122">
        <f t="shared" si="152"/>
        <v>1343.6092884732366</v>
      </c>
      <c r="AC167" s="122">
        <f t="shared" si="152"/>
        <v>1334.4962582535122</v>
      </c>
      <c r="AD167" s="122">
        <f t="shared" si="152"/>
        <v>1325.3832280337879</v>
      </c>
      <c r="AE167" s="122">
        <f t="shared" si="152"/>
        <v>1316.2701978140635</v>
      </c>
      <c r="AF167" s="122">
        <f t="shared" si="152"/>
        <v>1307.1571675943392</v>
      </c>
      <c r="AG167" s="117">
        <f t="shared" si="164"/>
        <v>4.7432176427146464E-2</v>
      </c>
      <c r="AH167" s="117">
        <f t="shared" si="164"/>
        <v>4.7432176427146464E-2</v>
      </c>
      <c r="AI167" s="117">
        <f t="shared" si="164"/>
        <v>4.7432176427146464E-2</v>
      </c>
      <c r="AJ167" s="117">
        <f t="shared" si="164"/>
        <v>4.7432176427146464E-2</v>
      </c>
      <c r="AK167" s="117">
        <f t="shared" si="164"/>
        <v>4.7432176427146464E-2</v>
      </c>
      <c r="AL167" s="117">
        <f t="shared" si="164"/>
        <v>4.7432176427146464E-2</v>
      </c>
      <c r="AM167" s="117">
        <f t="shared" si="164"/>
        <v>4.7432176427146464E-2</v>
      </c>
      <c r="AN167" s="117">
        <f t="shared" si="164"/>
        <v>4.7432176427146464E-2</v>
      </c>
      <c r="AO167" s="117">
        <f t="shared" si="164"/>
        <v>4.7432176427146464E-2</v>
      </c>
      <c r="AP167" s="117">
        <f t="shared" si="164"/>
        <v>4.7432176427146464E-2</v>
      </c>
      <c r="AQ167" s="117">
        <f t="shared" si="164"/>
        <v>4.7432176427146464E-2</v>
      </c>
      <c r="AR167" s="117">
        <f t="shared" si="119"/>
        <v>4.7432176427146464E-2</v>
      </c>
      <c r="AS167" s="117">
        <f t="shared" si="150"/>
        <v>4.7432176427146464E-2</v>
      </c>
      <c r="AT167" s="117">
        <f t="shared" si="150"/>
        <v>4.7432176427146464E-2</v>
      </c>
      <c r="AU167" s="117">
        <f t="shared" si="150"/>
        <v>4.7432176427146464E-2</v>
      </c>
      <c r="AV167" s="117">
        <f t="shared" si="150"/>
        <v>4.7432176427146464E-2</v>
      </c>
      <c r="AW167" s="117">
        <f t="shared" si="150"/>
        <v>4.7432176427146464E-2</v>
      </c>
      <c r="AX167" s="117">
        <f t="shared" si="150"/>
        <v>4.7432176427146464E-2</v>
      </c>
      <c r="AY167" s="117">
        <f t="shared" si="150"/>
        <v>4.7432176427146464E-2</v>
      </c>
      <c r="AZ167" s="117">
        <f t="shared" si="150"/>
        <v>4.7432176427146464E-2</v>
      </c>
      <c r="BA167" s="117">
        <f t="shared" si="150"/>
        <v>4.7432176427146464E-2</v>
      </c>
      <c r="BB167" s="117">
        <f t="shared" si="150"/>
        <v>4.7432176427146464E-2</v>
      </c>
      <c r="BC167" s="117">
        <f t="shared" si="150"/>
        <v>4.7432176427146464E-2</v>
      </c>
      <c r="BD167" s="117">
        <f t="shared" si="150"/>
        <v>4.7432176427146464E-2</v>
      </c>
      <c r="BE167" s="117">
        <f t="shared" si="150"/>
        <v>4.7432176427146464E-2</v>
      </c>
      <c r="BF167" s="117">
        <f t="shared" si="150"/>
        <v>4.7432176427146464E-2</v>
      </c>
      <c r="BG167" s="117">
        <f t="shared" si="150"/>
        <v>4.7432176427146464E-2</v>
      </c>
      <c r="BH167" s="117">
        <f t="shared" si="150"/>
        <v>4.7432176427146464E-2</v>
      </c>
      <c r="BI167" s="117">
        <f t="shared" si="150"/>
        <v>4.7432176427146464E-2</v>
      </c>
      <c r="BJ167" s="117">
        <f t="shared" si="150"/>
        <v>4.7432176427146464E-2</v>
      </c>
      <c r="BK167" s="117">
        <f t="shared" si="150"/>
        <v>4.7432176427146464E-2</v>
      </c>
    </row>
    <row r="168" spans="1:63" x14ac:dyDescent="0.35">
      <c r="A168" s="112" t="s">
        <v>30</v>
      </c>
      <c r="B168" s="114">
        <f>'Initial demand info'!F40</f>
        <v>25431.495450000002</v>
      </c>
      <c r="C168" s="115">
        <f t="shared" si="163"/>
        <v>25284.815771730584</v>
      </c>
      <c r="D168" s="115">
        <f t="shared" si="163"/>
        <v>25138.136093461173</v>
      </c>
      <c r="E168" s="115">
        <f t="shared" si="163"/>
        <v>24991.456415191758</v>
      </c>
      <c r="F168" s="115">
        <f t="shared" si="163"/>
        <v>24844.776736922347</v>
      </c>
      <c r="G168" s="115">
        <f t="shared" si="163"/>
        <v>24698.097058652933</v>
      </c>
      <c r="H168" s="115">
        <f t="shared" si="163"/>
        <v>24551.467085459175</v>
      </c>
      <c r="I168" s="115">
        <f t="shared" si="163"/>
        <v>24404.837112265421</v>
      </c>
      <c r="J168" s="115">
        <f t="shared" si="163"/>
        <v>24258.207139071663</v>
      </c>
      <c r="K168" s="115">
        <f t="shared" si="163"/>
        <v>24111.577165877909</v>
      </c>
      <c r="L168" s="115">
        <f t="shared" si="163"/>
        <v>23964.947192684147</v>
      </c>
      <c r="M168" s="122">
        <f t="shared" si="134"/>
        <v>23818.317219490389</v>
      </c>
      <c r="N168" s="122">
        <f t="shared" si="152"/>
        <v>23671.687246296631</v>
      </c>
      <c r="O168" s="122">
        <f t="shared" si="152"/>
        <v>23525.057273102873</v>
      </c>
      <c r="P168" s="122">
        <f t="shared" si="152"/>
        <v>23378.427299909115</v>
      </c>
      <c r="Q168" s="122">
        <f t="shared" si="152"/>
        <v>23231.797326715357</v>
      </c>
      <c r="R168" s="122">
        <f t="shared" si="152"/>
        <v>23085.1673535216</v>
      </c>
      <c r="S168" s="122">
        <f t="shared" si="152"/>
        <v>22938.537380327842</v>
      </c>
      <c r="T168" s="122">
        <f t="shared" si="152"/>
        <v>22791.907407134084</v>
      </c>
      <c r="U168" s="122">
        <f t="shared" si="152"/>
        <v>22645.277433940326</v>
      </c>
      <c r="V168" s="122">
        <f t="shared" si="152"/>
        <v>22498.647460746568</v>
      </c>
      <c r="W168" s="122">
        <f t="shared" si="152"/>
        <v>22352.01748755281</v>
      </c>
      <c r="X168" s="122">
        <f t="shared" si="152"/>
        <v>22205.387514359052</v>
      </c>
      <c r="Y168" s="122">
        <f t="shared" si="152"/>
        <v>22058.757541165294</v>
      </c>
      <c r="Z168" s="122">
        <f t="shared" si="152"/>
        <v>21912.127567971536</v>
      </c>
      <c r="AA168" s="122">
        <f t="shared" si="152"/>
        <v>21765.497594777778</v>
      </c>
      <c r="AB168" s="122">
        <f t="shared" si="152"/>
        <v>21618.867621584021</v>
      </c>
      <c r="AC168" s="122">
        <f t="shared" si="152"/>
        <v>21472.237648390263</v>
      </c>
      <c r="AD168" s="122">
        <f t="shared" si="152"/>
        <v>21325.607675196505</v>
      </c>
      <c r="AE168" s="122">
        <f t="shared" si="152"/>
        <v>21178.977702002747</v>
      </c>
      <c r="AF168" s="122">
        <f t="shared" si="152"/>
        <v>21032.347728808989</v>
      </c>
      <c r="AG168" s="117">
        <f t="shared" si="164"/>
        <v>0.76319057331563145</v>
      </c>
      <c r="AH168" s="117">
        <f t="shared" si="164"/>
        <v>0.76319057331563145</v>
      </c>
      <c r="AI168" s="117">
        <f t="shared" si="164"/>
        <v>0.76319057331563145</v>
      </c>
      <c r="AJ168" s="117">
        <f t="shared" si="164"/>
        <v>0.76319057331563145</v>
      </c>
      <c r="AK168" s="117">
        <f t="shared" si="164"/>
        <v>0.76319057331563145</v>
      </c>
      <c r="AL168" s="117">
        <f t="shared" si="164"/>
        <v>0.76319057331563145</v>
      </c>
      <c r="AM168" s="117">
        <f t="shared" si="164"/>
        <v>0.76319057331563145</v>
      </c>
      <c r="AN168" s="117">
        <f t="shared" si="164"/>
        <v>0.76319057331563145</v>
      </c>
      <c r="AO168" s="117">
        <f t="shared" si="164"/>
        <v>0.76319057331563145</v>
      </c>
      <c r="AP168" s="117">
        <f t="shared" si="164"/>
        <v>0.76319057331563145</v>
      </c>
      <c r="AQ168" s="117">
        <f t="shared" si="164"/>
        <v>0.76319057331563145</v>
      </c>
      <c r="AR168" s="117">
        <f t="shared" si="119"/>
        <v>0.76319057331563145</v>
      </c>
      <c r="AS168" s="117">
        <f t="shared" si="150"/>
        <v>0.76319057331563145</v>
      </c>
      <c r="AT168" s="117">
        <f t="shared" si="150"/>
        <v>0.76319057331563145</v>
      </c>
      <c r="AU168" s="117">
        <f t="shared" si="150"/>
        <v>0.76319057331563145</v>
      </c>
      <c r="AV168" s="117">
        <f t="shared" si="150"/>
        <v>0.76319057331563145</v>
      </c>
      <c r="AW168" s="117">
        <f t="shared" si="150"/>
        <v>0.76319057331563145</v>
      </c>
      <c r="AX168" s="117">
        <f t="shared" si="150"/>
        <v>0.76319057331563145</v>
      </c>
      <c r="AY168" s="117">
        <f t="shared" si="150"/>
        <v>0.76319057331563145</v>
      </c>
      <c r="AZ168" s="117">
        <f t="shared" si="150"/>
        <v>0.76319057331563145</v>
      </c>
      <c r="BA168" s="117">
        <f t="shared" ref="BA168:BK168" si="165">$AQ168</f>
        <v>0.76319057331563145</v>
      </c>
      <c r="BB168" s="117">
        <f t="shared" si="165"/>
        <v>0.76319057331563145</v>
      </c>
      <c r="BC168" s="117">
        <f t="shared" si="165"/>
        <v>0.76319057331563145</v>
      </c>
      <c r="BD168" s="117">
        <f t="shared" si="165"/>
        <v>0.76319057331563145</v>
      </c>
      <c r="BE168" s="117">
        <f t="shared" si="165"/>
        <v>0.76319057331563145</v>
      </c>
      <c r="BF168" s="117">
        <f t="shared" si="165"/>
        <v>0.76319057331563145</v>
      </c>
      <c r="BG168" s="117">
        <f t="shared" si="165"/>
        <v>0.76319057331563145</v>
      </c>
      <c r="BH168" s="117">
        <f t="shared" si="165"/>
        <v>0.76319057331563145</v>
      </c>
      <c r="BI168" s="117">
        <f t="shared" si="165"/>
        <v>0.76319057331563145</v>
      </c>
      <c r="BJ168" s="117">
        <f t="shared" si="165"/>
        <v>0.76319057331563145</v>
      </c>
      <c r="BK168" s="117">
        <f t="shared" si="165"/>
        <v>0.76319057331563145</v>
      </c>
    </row>
    <row r="170" spans="1:63" x14ac:dyDescent="0.35">
      <c r="A170" s="102" t="s">
        <v>157</v>
      </c>
    </row>
    <row r="172" spans="1:63" x14ac:dyDescent="0.35">
      <c r="A172" t="s">
        <v>50</v>
      </c>
      <c r="B172" t="s">
        <v>16</v>
      </c>
      <c r="C172" t="s">
        <v>17</v>
      </c>
      <c r="D172" t="s">
        <v>18</v>
      </c>
      <c r="E172" t="s">
        <v>19</v>
      </c>
      <c r="F172" t="s">
        <v>20</v>
      </c>
      <c r="G172" t="s">
        <v>21</v>
      </c>
      <c r="H172" t="s">
        <v>22</v>
      </c>
      <c r="I172" t="s">
        <v>23</v>
      </c>
      <c r="J172" t="s">
        <v>24</v>
      </c>
      <c r="K172" t="s">
        <v>25</v>
      </c>
      <c r="L172" t="s">
        <v>26</v>
      </c>
      <c r="M172" t="s">
        <v>37</v>
      </c>
      <c r="N172" t="s">
        <v>54</v>
      </c>
      <c r="O172" t="s">
        <v>55</v>
      </c>
      <c r="P172" t="s">
        <v>56</v>
      </c>
      <c r="Q172" t="s">
        <v>57</v>
      </c>
      <c r="R172" t="s">
        <v>58</v>
      </c>
      <c r="S172" t="s">
        <v>59</v>
      </c>
      <c r="T172" t="s">
        <v>60</v>
      </c>
      <c r="U172" t="s">
        <v>61</v>
      </c>
      <c r="V172" t="s">
        <v>62</v>
      </c>
      <c r="W172" t="s">
        <v>85</v>
      </c>
      <c r="X172" t="s">
        <v>86</v>
      </c>
      <c r="Y172" t="s">
        <v>87</v>
      </c>
      <c r="Z172" t="s">
        <v>88</v>
      </c>
      <c r="AA172" t="s">
        <v>89</v>
      </c>
      <c r="AB172" t="s">
        <v>126</v>
      </c>
      <c r="AC172" t="s">
        <v>127</v>
      </c>
      <c r="AD172" t="s">
        <v>128</v>
      </c>
      <c r="AE172" t="s">
        <v>129</v>
      </c>
      <c r="AF172" t="s">
        <v>118</v>
      </c>
    </row>
    <row r="173" spans="1:63" x14ac:dyDescent="0.35">
      <c r="A173" s="3" t="s">
        <v>53</v>
      </c>
      <c r="B173">
        <v>342052.6</v>
      </c>
      <c r="C173">
        <v>342052.59999999974</v>
      </c>
      <c r="D173">
        <v>342052.59999999974</v>
      </c>
      <c r="E173">
        <v>342052.59999999974</v>
      </c>
      <c r="F173">
        <v>342052.59999999974</v>
      </c>
      <c r="G173">
        <v>342052.59999999974</v>
      </c>
      <c r="H173">
        <v>342052.59999999974</v>
      </c>
      <c r="I173">
        <v>342052.59999999974</v>
      </c>
      <c r="J173">
        <v>342052.59999999974</v>
      </c>
      <c r="K173">
        <v>342052.59999999974</v>
      </c>
      <c r="L173">
        <v>342052.59999999974</v>
      </c>
      <c r="M173">
        <v>342052.59999999974</v>
      </c>
      <c r="N173">
        <v>342052.59999999974</v>
      </c>
      <c r="O173">
        <v>342052.59999999974</v>
      </c>
      <c r="P173">
        <v>342052.59999999974</v>
      </c>
      <c r="Q173">
        <v>342052.59999999974</v>
      </c>
      <c r="R173">
        <v>342052.59999999974</v>
      </c>
      <c r="S173">
        <v>342052.59999999974</v>
      </c>
      <c r="T173">
        <v>342052.59999999974</v>
      </c>
      <c r="U173">
        <v>342052.59999999974</v>
      </c>
      <c r="V173">
        <v>342052.59999999974</v>
      </c>
      <c r="W173">
        <v>342052.59999999974</v>
      </c>
      <c r="X173">
        <v>342052.59999999974</v>
      </c>
      <c r="Y173">
        <v>342052.59999999974</v>
      </c>
      <c r="Z173">
        <v>342052.59999999974</v>
      </c>
      <c r="AA173">
        <v>342052.59999999974</v>
      </c>
      <c r="AB173">
        <v>342052.59999999974</v>
      </c>
      <c r="AC173">
        <v>342052.59999999974</v>
      </c>
      <c r="AD173">
        <v>342052.59999999974</v>
      </c>
      <c r="AE173">
        <v>342052.59999999974</v>
      </c>
      <c r="AF173">
        <v>342052.59999999974</v>
      </c>
    </row>
    <row r="174" spans="1:63" x14ac:dyDescent="0.35">
      <c r="A174" s="3" t="s">
        <v>32</v>
      </c>
      <c r="B174" s="5">
        <f>B165</f>
        <v>33322.601640000001</v>
      </c>
      <c r="C174" s="5">
        <f t="shared" ref="C174:V174" si="166">C165</f>
        <v>33130.408911999999</v>
      </c>
      <c r="D174" s="5">
        <f t="shared" si="166"/>
        <v>32938.216184000004</v>
      </c>
      <c r="E174" s="5">
        <f t="shared" si="166"/>
        <v>32746.023456000006</v>
      </c>
      <c r="F174" s="5">
        <f t="shared" si="166"/>
        <v>32553.830728000008</v>
      </c>
      <c r="G174" s="5">
        <f t="shared" si="166"/>
        <v>32361.63800000001</v>
      </c>
      <c r="H174" s="5">
        <f t="shared" si="166"/>
        <v>32169.51040000001</v>
      </c>
      <c r="I174" s="5">
        <f t="shared" si="166"/>
        <v>31977.38280000001</v>
      </c>
      <c r="J174" s="5">
        <f t="shared" si="166"/>
        <v>31785.255200000011</v>
      </c>
      <c r="K174" s="5">
        <f t="shared" si="166"/>
        <v>31593.127600000011</v>
      </c>
      <c r="L174" s="5">
        <f t="shared" si="166"/>
        <v>31401.000000000004</v>
      </c>
      <c r="M174" s="5">
        <f t="shared" si="166"/>
        <v>31208.872400000004</v>
      </c>
      <c r="N174" s="5">
        <f t="shared" si="166"/>
        <v>31016.744800000004</v>
      </c>
      <c r="O174" s="5">
        <f t="shared" si="166"/>
        <v>30824.617200000004</v>
      </c>
      <c r="P174" s="5">
        <f t="shared" si="166"/>
        <v>30632.489600000004</v>
      </c>
      <c r="Q174" s="5">
        <f t="shared" si="166"/>
        <v>30440.362000000005</v>
      </c>
      <c r="R174" s="5">
        <f t="shared" si="166"/>
        <v>30248.234400000005</v>
      </c>
      <c r="S174" s="5">
        <f t="shared" si="166"/>
        <v>30056.106800000005</v>
      </c>
      <c r="T174" s="5">
        <f t="shared" si="166"/>
        <v>29863.979200000005</v>
      </c>
      <c r="U174" s="5">
        <f t="shared" si="166"/>
        <v>29671.851600000005</v>
      </c>
      <c r="V174" s="5">
        <f t="shared" si="166"/>
        <v>29479.724000000006</v>
      </c>
      <c r="W174" s="5">
        <f t="shared" ref="W174:AF174" si="167">W165</f>
        <v>29479.724000000006</v>
      </c>
      <c r="X174" s="5">
        <f t="shared" si="167"/>
        <v>29479.724000000006</v>
      </c>
      <c r="Y174" s="5">
        <f t="shared" si="167"/>
        <v>29479.724000000006</v>
      </c>
      <c r="Z174" s="5">
        <f t="shared" si="167"/>
        <v>29479.724000000006</v>
      </c>
      <c r="AA174" s="5">
        <f t="shared" si="167"/>
        <v>29479.724000000006</v>
      </c>
      <c r="AB174" s="5">
        <f t="shared" si="167"/>
        <v>29479.724000000006</v>
      </c>
      <c r="AC174" s="5">
        <f t="shared" si="167"/>
        <v>29479.724000000006</v>
      </c>
      <c r="AD174" s="5">
        <f t="shared" si="167"/>
        <v>29479.724000000006</v>
      </c>
      <c r="AE174" s="5">
        <f t="shared" si="167"/>
        <v>29479.724000000006</v>
      </c>
      <c r="AF174" s="5">
        <f t="shared" si="167"/>
        <v>29479.724000000006</v>
      </c>
    </row>
    <row r="175" spans="1:63" x14ac:dyDescent="0.35">
      <c r="A175" s="3" t="s">
        <v>6</v>
      </c>
      <c r="B175" s="5">
        <f>B152</f>
        <v>336996.20653999998</v>
      </c>
      <c r="C175" s="5">
        <f t="shared" ref="C175:V175" si="168">C152</f>
        <v>354030.76523199998</v>
      </c>
      <c r="D175" s="5">
        <f t="shared" si="168"/>
        <v>371065.32392399997</v>
      </c>
      <c r="E175" s="5">
        <f t="shared" si="168"/>
        <v>388099.88261599996</v>
      </c>
      <c r="F175" s="5">
        <f t="shared" si="168"/>
        <v>405134.44130799995</v>
      </c>
      <c r="G175" s="5">
        <f t="shared" si="168"/>
        <v>422168.99999999994</v>
      </c>
      <c r="H175" s="5">
        <f t="shared" si="168"/>
        <v>418912.6</v>
      </c>
      <c r="I175" s="5">
        <f t="shared" si="168"/>
        <v>415656.2</v>
      </c>
      <c r="J175" s="5">
        <f t="shared" si="168"/>
        <v>412399.80000000005</v>
      </c>
      <c r="K175" s="5">
        <f t="shared" si="168"/>
        <v>409143.40000000008</v>
      </c>
      <c r="L175" s="5">
        <f t="shared" si="168"/>
        <v>405887</v>
      </c>
      <c r="M175" s="5">
        <f t="shared" si="168"/>
        <v>402630.60000000003</v>
      </c>
      <c r="N175" s="5">
        <f t="shared" si="168"/>
        <v>399374.20000000007</v>
      </c>
      <c r="O175" s="5">
        <f t="shared" si="168"/>
        <v>396117.8000000001</v>
      </c>
      <c r="P175" s="5">
        <f t="shared" si="168"/>
        <v>392861.40000000014</v>
      </c>
      <c r="Q175" s="5">
        <f t="shared" si="168"/>
        <v>389605.00000000017</v>
      </c>
      <c r="R175" s="5">
        <f t="shared" si="168"/>
        <v>386348.60000000021</v>
      </c>
      <c r="S175" s="5">
        <f t="shared" si="168"/>
        <v>383092.20000000024</v>
      </c>
      <c r="T175" s="5">
        <f t="shared" si="168"/>
        <v>379835.80000000028</v>
      </c>
      <c r="U175" s="5">
        <f t="shared" si="168"/>
        <v>376579.40000000031</v>
      </c>
      <c r="V175" s="5">
        <f t="shared" si="168"/>
        <v>373323.00000000035</v>
      </c>
      <c r="W175" s="5">
        <f t="shared" ref="W175:AF175" si="169">W152</f>
        <v>373323.00000000035</v>
      </c>
      <c r="X175" s="5">
        <f t="shared" si="169"/>
        <v>373323.00000000035</v>
      </c>
      <c r="Y175" s="5">
        <f t="shared" si="169"/>
        <v>373323.00000000035</v>
      </c>
      <c r="Z175" s="5">
        <f t="shared" si="169"/>
        <v>373323.00000000035</v>
      </c>
      <c r="AA175" s="5">
        <f t="shared" si="169"/>
        <v>373323.00000000035</v>
      </c>
      <c r="AB175" s="5">
        <f t="shared" si="169"/>
        <v>373323.00000000035</v>
      </c>
      <c r="AC175" s="5">
        <f t="shared" si="169"/>
        <v>373323.00000000035</v>
      </c>
      <c r="AD175" s="5">
        <f t="shared" si="169"/>
        <v>373323.00000000035</v>
      </c>
      <c r="AE175" s="5">
        <f t="shared" si="169"/>
        <v>373323.00000000035</v>
      </c>
      <c r="AF175" s="5">
        <f t="shared" si="169"/>
        <v>373323.00000000035</v>
      </c>
    </row>
    <row r="176" spans="1:63" x14ac:dyDescent="0.35">
      <c r="A176" s="3" t="s">
        <v>5</v>
      </c>
      <c r="B176" s="5">
        <f>B144</f>
        <v>272762.75125000003</v>
      </c>
      <c r="C176" s="5">
        <f t="shared" ref="C176:V176" si="170">C144</f>
        <v>277058.00100000005</v>
      </c>
      <c r="D176" s="5">
        <f t="shared" si="170"/>
        <v>281353.25075000006</v>
      </c>
      <c r="E176" s="5">
        <f t="shared" si="170"/>
        <v>285648.50050000008</v>
      </c>
      <c r="F176" s="5">
        <f t="shared" si="170"/>
        <v>289943.7502500001</v>
      </c>
      <c r="G176" s="5">
        <f t="shared" si="170"/>
        <v>294239</v>
      </c>
      <c r="H176" s="5">
        <f t="shared" si="170"/>
        <v>292843.40000000002</v>
      </c>
      <c r="I176" s="5">
        <f t="shared" si="170"/>
        <v>291447.80000000005</v>
      </c>
      <c r="J176" s="5">
        <f t="shared" si="170"/>
        <v>290052.20000000007</v>
      </c>
      <c r="K176" s="5">
        <f t="shared" si="170"/>
        <v>288656.60000000009</v>
      </c>
      <c r="L176" s="5">
        <f t="shared" si="170"/>
        <v>287261</v>
      </c>
      <c r="M176" s="5">
        <f t="shared" si="170"/>
        <v>285865.40000000002</v>
      </c>
      <c r="N176" s="5">
        <f t="shared" si="170"/>
        <v>284469.80000000005</v>
      </c>
      <c r="O176" s="5">
        <f t="shared" si="170"/>
        <v>283074.20000000007</v>
      </c>
      <c r="P176" s="5">
        <f t="shared" si="170"/>
        <v>281678.60000000009</v>
      </c>
      <c r="Q176" s="5">
        <f t="shared" si="170"/>
        <v>280283.00000000012</v>
      </c>
      <c r="R176" s="5">
        <f t="shared" si="170"/>
        <v>278887.40000000014</v>
      </c>
      <c r="S176" s="5">
        <f t="shared" si="170"/>
        <v>277491.80000000016</v>
      </c>
      <c r="T176" s="5">
        <f t="shared" si="170"/>
        <v>276096.20000000019</v>
      </c>
      <c r="U176" s="5">
        <f t="shared" si="170"/>
        <v>274700.60000000021</v>
      </c>
      <c r="V176" s="5">
        <f t="shared" si="170"/>
        <v>273305.00000000023</v>
      </c>
      <c r="W176" s="5">
        <f t="shared" ref="W176:AF176" si="171">W144</f>
        <v>273305.00000000023</v>
      </c>
      <c r="X176" s="5">
        <f t="shared" si="171"/>
        <v>273305.00000000023</v>
      </c>
      <c r="Y176" s="5">
        <f t="shared" si="171"/>
        <v>273305.00000000023</v>
      </c>
      <c r="Z176" s="5">
        <f t="shared" si="171"/>
        <v>273305.00000000023</v>
      </c>
      <c r="AA176" s="5">
        <f t="shared" si="171"/>
        <v>273305.00000000023</v>
      </c>
      <c r="AB176" s="5">
        <f t="shared" si="171"/>
        <v>273305.00000000023</v>
      </c>
      <c r="AC176" s="5">
        <f t="shared" si="171"/>
        <v>273305.00000000023</v>
      </c>
      <c r="AD176" s="5">
        <f t="shared" si="171"/>
        <v>273305.00000000023</v>
      </c>
      <c r="AE176" s="5">
        <f t="shared" si="171"/>
        <v>273305.00000000023</v>
      </c>
      <c r="AF176" s="5">
        <f t="shared" si="171"/>
        <v>273305.00000000023</v>
      </c>
    </row>
    <row r="177" spans="1:32" x14ac:dyDescent="0.35">
      <c r="A177" s="3" t="s">
        <v>4</v>
      </c>
      <c r="B177" s="5">
        <f>B137</f>
        <v>356529.17533000006</v>
      </c>
      <c r="C177" s="5">
        <f t="shared" ref="C177:V177" si="172">C137</f>
        <v>354770.74026400002</v>
      </c>
      <c r="D177" s="5">
        <f t="shared" si="172"/>
        <v>353012.30519799999</v>
      </c>
      <c r="E177" s="5">
        <f t="shared" si="172"/>
        <v>351253.87013199995</v>
      </c>
      <c r="F177" s="5">
        <f t="shared" si="172"/>
        <v>349495.43506599992</v>
      </c>
      <c r="G177" s="5">
        <f t="shared" si="172"/>
        <v>347737</v>
      </c>
      <c r="H177" s="5">
        <f t="shared" si="172"/>
        <v>344945.8</v>
      </c>
      <c r="I177" s="5">
        <f t="shared" si="172"/>
        <v>342154.6</v>
      </c>
      <c r="J177" s="5">
        <f t="shared" si="172"/>
        <v>339363.39999999997</v>
      </c>
      <c r="K177" s="5">
        <f t="shared" si="172"/>
        <v>336572.19999999995</v>
      </c>
      <c r="L177" s="5">
        <f t="shared" si="172"/>
        <v>333781</v>
      </c>
      <c r="M177" s="5">
        <f t="shared" si="172"/>
        <v>330989.8</v>
      </c>
      <c r="N177" s="5">
        <f t="shared" si="172"/>
        <v>328198.59999999998</v>
      </c>
      <c r="O177" s="5">
        <f t="shared" si="172"/>
        <v>325407.39999999997</v>
      </c>
      <c r="P177" s="5">
        <f t="shared" si="172"/>
        <v>322616.19999999995</v>
      </c>
      <c r="Q177" s="5">
        <f t="shared" si="172"/>
        <v>319824.99999999994</v>
      </c>
      <c r="R177" s="5">
        <f t="shared" si="172"/>
        <v>317033.79999999993</v>
      </c>
      <c r="S177" s="5">
        <f t="shared" si="172"/>
        <v>314242.59999999992</v>
      </c>
      <c r="T177" s="5">
        <f t="shared" si="172"/>
        <v>311451.39999999991</v>
      </c>
      <c r="U177" s="5">
        <f t="shared" si="172"/>
        <v>308660.1999999999</v>
      </c>
      <c r="V177" s="5">
        <f t="shared" si="172"/>
        <v>305868.99999999988</v>
      </c>
      <c r="W177" s="5">
        <f t="shared" ref="W177:AF177" si="173">W137</f>
        <v>305868.99999999988</v>
      </c>
      <c r="X177" s="5">
        <f t="shared" si="173"/>
        <v>305868.99999999988</v>
      </c>
      <c r="Y177" s="5">
        <f t="shared" si="173"/>
        <v>305868.99999999988</v>
      </c>
      <c r="Z177" s="5">
        <f t="shared" si="173"/>
        <v>305868.99999999988</v>
      </c>
      <c r="AA177" s="5">
        <f t="shared" si="173"/>
        <v>305868.99999999988</v>
      </c>
      <c r="AB177" s="5">
        <f t="shared" si="173"/>
        <v>305868.99999999988</v>
      </c>
      <c r="AC177" s="5">
        <f t="shared" si="173"/>
        <v>305868.99999999988</v>
      </c>
      <c r="AD177" s="5">
        <f t="shared" si="173"/>
        <v>305868.99999999988</v>
      </c>
      <c r="AE177" s="5">
        <f t="shared" si="173"/>
        <v>305868.99999999988</v>
      </c>
      <c r="AF177" s="5">
        <f t="shared" si="173"/>
        <v>305868.99999999988</v>
      </c>
    </row>
    <row r="178" spans="1:32" x14ac:dyDescent="0.35">
      <c r="A178" s="3" t="s">
        <v>31</v>
      </c>
      <c r="B178" s="5">
        <f>B158</f>
        <v>192564.53910000002</v>
      </c>
      <c r="C178" s="5">
        <f t="shared" ref="C178:V178" si="174">C158</f>
        <v>188237.78368000002</v>
      </c>
      <c r="D178" s="5">
        <f t="shared" si="174"/>
        <v>183911.02826000002</v>
      </c>
      <c r="E178" s="5">
        <f t="shared" si="174"/>
        <v>179584.27284000002</v>
      </c>
      <c r="F178" s="5">
        <f t="shared" si="174"/>
        <v>175257.51742000002</v>
      </c>
      <c r="G178" s="5">
        <f t="shared" si="174"/>
        <v>170930.76200000002</v>
      </c>
      <c r="H178" s="5">
        <f t="shared" si="174"/>
        <v>170704.2096</v>
      </c>
      <c r="I178" s="5">
        <f t="shared" si="174"/>
        <v>170477.65719999999</v>
      </c>
      <c r="J178" s="5">
        <f t="shared" si="174"/>
        <v>170251.10479999997</v>
      </c>
      <c r="K178" s="5">
        <f t="shared" si="174"/>
        <v>170024.55239999996</v>
      </c>
      <c r="L178" s="5">
        <f t="shared" si="174"/>
        <v>169798</v>
      </c>
      <c r="M178" s="5">
        <f t="shared" si="174"/>
        <v>169571.44759999998</v>
      </c>
      <c r="N178" s="5">
        <f t="shared" si="174"/>
        <v>169344.89519999997</v>
      </c>
      <c r="O178" s="5">
        <f t="shared" si="174"/>
        <v>169118.34279999995</v>
      </c>
      <c r="P178" s="5">
        <f t="shared" si="174"/>
        <v>168891.79039999994</v>
      </c>
      <c r="Q178" s="5">
        <f t="shared" si="174"/>
        <v>168665.23799999992</v>
      </c>
      <c r="R178" s="5">
        <f t="shared" si="174"/>
        <v>168438.68559999991</v>
      </c>
      <c r="S178" s="5">
        <f t="shared" si="174"/>
        <v>168212.13319999989</v>
      </c>
      <c r="T178" s="5">
        <f t="shared" si="174"/>
        <v>167985.58079999988</v>
      </c>
      <c r="U178" s="5">
        <f t="shared" si="174"/>
        <v>167759.02839999986</v>
      </c>
      <c r="V178" s="5">
        <f t="shared" si="174"/>
        <v>167532.47599999985</v>
      </c>
      <c r="W178" s="5">
        <f t="shared" ref="W178:AF178" si="175">W158</f>
        <v>167532.47599999985</v>
      </c>
      <c r="X178" s="5">
        <f t="shared" si="175"/>
        <v>167532.47599999985</v>
      </c>
      <c r="Y178" s="5">
        <f t="shared" si="175"/>
        <v>167532.47599999985</v>
      </c>
      <c r="Z178" s="5">
        <f t="shared" si="175"/>
        <v>167532.47599999985</v>
      </c>
      <c r="AA178" s="5">
        <f t="shared" si="175"/>
        <v>167532.47599999985</v>
      </c>
      <c r="AB178" s="5">
        <f t="shared" si="175"/>
        <v>167532.47599999985</v>
      </c>
      <c r="AC178" s="5">
        <f t="shared" si="175"/>
        <v>167532.47599999985</v>
      </c>
      <c r="AD178" s="5">
        <f t="shared" si="175"/>
        <v>167532.47599999985</v>
      </c>
      <c r="AE178" s="5">
        <f t="shared" si="175"/>
        <v>167532.47599999985</v>
      </c>
      <c r="AF178" s="5">
        <f t="shared" si="175"/>
        <v>167532.47599999985</v>
      </c>
    </row>
    <row r="180" spans="1:32" x14ac:dyDescent="0.35">
      <c r="B180" s="94" t="s">
        <v>50</v>
      </c>
      <c r="C180" s="94" t="s">
        <v>53</v>
      </c>
      <c r="D180" s="94" t="s">
        <v>32</v>
      </c>
      <c r="E180" s="94" t="s">
        <v>6</v>
      </c>
      <c r="F180" s="94" t="s">
        <v>5</v>
      </c>
      <c r="G180" s="94" t="s">
        <v>4</v>
      </c>
      <c r="H180" s="94" t="s">
        <v>31</v>
      </c>
    </row>
    <row r="181" spans="1:32" x14ac:dyDescent="0.35">
      <c r="B181" t="s">
        <v>16</v>
      </c>
      <c r="C181">
        <v>342052.6</v>
      </c>
      <c r="D181">
        <v>33322.601640000001</v>
      </c>
      <c r="E181">
        <v>336996.20653999998</v>
      </c>
      <c r="F181">
        <v>272762.75125000003</v>
      </c>
      <c r="G181">
        <v>356529.17533000006</v>
      </c>
      <c r="H181">
        <v>192564.53910000002</v>
      </c>
    </row>
    <row r="182" spans="1:32" x14ac:dyDescent="0.35">
      <c r="B182" t="s">
        <v>17</v>
      </c>
      <c r="C182">
        <v>342052.59999999974</v>
      </c>
      <c r="D182">
        <v>33130.408911999999</v>
      </c>
      <c r="E182">
        <v>354030.76523199998</v>
      </c>
      <c r="F182">
        <v>277058.00100000005</v>
      </c>
      <c r="G182">
        <v>354770.74026400002</v>
      </c>
      <c r="H182">
        <v>188237.78368000002</v>
      </c>
    </row>
    <row r="183" spans="1:32" x14ac:dyDescent="0.35">
      <c r="B183" t="s">
        <v>18</v>
      </c>
      <c r="C183">
        <v>342052.59999999974</v>
      </c>
      <c r="D183">
        <v>32938.216184000004</v>
      </c>
      <c r="E183">
        <v>371065.32392399997</v>
      </c>
      <c r="F183">
        <v>281353.25075000006</v>
      </c>
      <c r="G183">
        <v>353012.30519799999</v>
      </c>
      <c r="H183">
        <v>183911.02826000002</v>
      </c>
    </row>
    <row r="184" spans="1:32" x14ac:dyDescent="0.35">
      <c r="B184" t="s">
        <v>19</v>
      </c>
      <c r="C184">
        <v>342052.59999999974</v>
      </c>
      <c r="D184">
        <v>32746.023456000006</v>
      </c>
      <c r="E184">
        <v>388099.88261599996</v>
      </c>
      <c r="F184">
        <v>285648.50050000008</v>
      </c>
      <c r="G184">
        <v>351253.87013199995</v>
      </c>
      <c r="H184">
        <v>179584.27284000002</v>
      </c>
    </row>
    <row r="185" spans="1:32" x14ac:dyDescent="0.35">
      <c r="B185" t="s">
        <v>20</v>
      </c>
      <c r="C185">
        <v>342052.59999999974</v>
      </c>
      <c r="D185">
        <v>32553.830728000008</v>
      </c>
      <c r="E185">
        <v>405134.44130799995</v>
      </c>
      <c r="F185">
        <v>289943.7502500001</v>
      </c>
      <c r="G185">
        <v>349495.43506599992</v>
      </c>
      <c r="H185">
        <v>175257.51742000002</v>
      </c>
    </row>
    <row r="186" spans="1:32" x14ac:dyDescent="0.35">
      <c r="B186" t="s">
        <v>21</v>
      </c>
      <c r="C186">
        <v>342052.59999999974</v>
      </c>
      <c r="D186">
        <v>32361.63800000001</v>
      </c>
      <c r="E186">
        <v>422168.99999999994</v>
      </c>
      <c r="F186">
        <v>294239</v>
      </c>
      <c r="G186">
        <v>347737</v>
      </c>
      <c r="H186">
        <v>170930.76200000002</v>
      </c>
    </row>
    <row r="187" spans="1:32" x14ac:dyDescent="0.35">
      <c r="B187" t="s">
        <v>22</v>
      </c>
      <c r="C187">
        <v>342052.59999999974</v>
      </c>
      <c r="D187">
        <v>32169.51040000001</v>
      </c>
      <c r="E187">
        <v>418912.6</v>
      </c>
      <c r="F187">
        <v>292843.40000000002</v>
      </c>
      <c r="G187">
        <v>344945.8</v>
      </c>
      <c r="H187">
        <v>170704.2096</v>
      </c>
    </row>
    <row r="188" spans="1:32" x14ac:dyDescent="0.35">
      <c r="B188" t="s">
        <v>23</v>
      </c>
      <c r="C188">
        <v>342052.59999999974</v>
      </c>
      <c r="D188">
        <v>31977.38280000001</v>
      </c>
      <c r="E188">
        <v>415656.2</v>
      </c>
      <c r="F188">
        <v>291447.80000000005</v>
      </c>
      <c r="G188">
        <v>342154.6</v>
      </c>
      <c r="H188">
        <v>170477.65719999999</v>
      </c>
    </row>
    <row r="189" spans="1:32" x14ac:dyDescent="0.35">
      <c r="B189" t="s">
        <v>24</v>
      </c>
      <c r="C189">
        <v>342052.59999999974</v>
      </c>
      <c r="D189">
        <v>31785.255200000011</v>
      </c>
      <c r="E189">
        <v>412399.80000000005</v>
      </c>
      <c r="F189">
        <v>290052.20000000007</v>
      </c>
      <c r="G189">
        <v>339363.39999999997</v>
      </c>
      <c r="H189">
        <v>170251.10479999997</v>
      </c>
    </row>
    <row r="190" spans="1:32" x14ac:dyDescent="0.35">
      <c r="B190" t="s">
        <v>25</v>
      </c>
      <c r="C190">
        <v>342052.59999999974</v>
      </c>
      <c r="D190">
        <v>31593.127600000011</v>
      </c>
      <c r="E190">
        <v>409143.40000000008</v>
      </c>
      <c r="F190">
        <v>288656.60000000009</v>
      </c>
      <c r="G190">
        <v>336572.19999999995</v>
      </c>
      <c r="H190">
        <v>170024.55239999996</v>
      </c>
    </row>
    <row r="191" spans="1:32" x14ac:dyDescent="0.35">
      <c r="B191" t="s">
        <v>26</v>
      </c>
      <c r="C191">
        <v>342052.59999999974</v>
      </c>
      <c r="D191">
        <v>31401.000000000004</v>
      </c>
      <c r="E191">
        <v>405887</v>
      </c>
      <c r="F191">
        <v>287261</v>
      </c>
      <c r="G191">
        <v>333781</v>
      </c>
      <c r="H191">
        <v>169798</v>
      </c>
    </row>
    <row r="192" spans="1:32" x14ac:dyDescent="0.35">
      <c r="B192" t="s">
        <v>37</v>
      </c>
      <c r="C192">
        <v>342052.59999999974</v>
      </c>
      <c r="D192">
        <v>31208.872400000004</v>
      </c>
      <c r="E192">
        <v>402630.60000000003</v>
      </c>
      <c r="F192">
        <v>285865.40000000002</v>
      </c>
      <c r="G192">
        <v>330989.8</v>
      </c>
      <c r="H192">
        <v>169571.44759999998</v>
      </c>
    </row>
    <row r="193" spans="2:8" x14ac:dyDescent="0.35">
      <c r="B193" t="s">
        <v>54</v>
      </c>
      <c r="C193">
        <v>342052.59999999974</v>
      </c>
      <c r="D193">
        <v>31016.744800000004</v>
      </c>
      <c r="E193">
        <v>399374.20000000007</v>
      </c>
      <c r="F193">
        <v>284469.80000000005</v>
      </c>
      <c r="G193">
        <v>328198.59999999998</v>
      </c>
      <c r="H193">
        <v>169344.89519999997</v>
      </c>
    </row>
    <row r="194" spans="2:8" x14ac:dyDescent="0.35">
      <c r="B194" t="s">
        <v>55</v>
      </c>
      <c r="C194">
        <v>342052.59999999974</v>
      </c>
      <c r="D194">
        <v>30824.617200000004</v>
      </c>
      <c r="E194">
        <v>396117.8000000001</v>
      </c>
      <c r="F194">
        <v>283074.20000000007</v>
      </c>
      <c r="G194">
        <v>325407.39999999997</v>
      </c>
      <c r="H194">
        <v>169118.34279999995</v>
      </c>
    </row>
    <row r="195" spans="2:8" x14ac:dyDescent="0.35">
      <c r="B195" t="s">
        <v>56</v>
      </c>
      <c r="C195">
        <v>342052.59999999974</v>
      </c>
      <c r="D195">
        <v>30632.489600000004</v>
      </c>
      <c r="E195">
        <v>392861.40000000014</v>
      </c>
      <c r="F195">
        <v>281678.60000000009</v>
      </c>
      <c r="G195">
        <v>322616.19999999995</v>
      </c>
      <c r="H195">
        <v>168891.79039999994</v>
      </c>
    </row>
    <row r="196" spans="2:8" x14ac:dyDescent="0.35">
      <c r="B196" t="s">
        <v>57</v>
      </c>
      <c r="C196">
        <v>342052.59999999974</v>
      </c>
      <c r="D196">
        <v>30440.362000000005</v>
      </c>
      <c r="E196">
        <v>389605.00000000017</v>
      </c>
      <c r="F196">
        <v>280283.00000000012</v>
      </c>
      <c r="G196">
        <v>319824.99999999994</v>
      </c>
      <c r="H196">
        <v>168665.23799999992</v>
      </c>
    </row>
    <row r="197" spans="2:8" x14ac:dyDescent="0.35">
      <c r="B197" t="s">
        <v>58</v>
      </c>
      <c r="C197">
        <v>342052.59999999974</v>
      </c>
      <c r="D197">
        <v>30248.234400000005</v>
      </c>
      <c r="E197">
        <v>386348.60000000021</v>
      </c>
      <c r="F197">
        <v>278887.40000000014</v>
      </c>
      <c r="G197">
        <v>317033.79999999993</v>
      </c>
      <c r="H197">
        <v>168438.68559999991</v>
      </c>
    </row>
    <row r="198" spans="2:8" x14ac:dyDescent="0.35">
      <c r="B198" t="s">
        <v>59</v>
      </c>
      <c r="C198">
        <v>342052.59999999974</v>
      </c>
      <c r="D198">
        <v>30056.106800000005</v>
      </c>
      <c r="E198">
        <v>383092.20000000024</v>
      </c>
      <c r="F198">
        <v>277491.80000000016</v>
      </c>
      <c r="G198">
        <v>314242.59999999992</v>
      </c>
      <c r="H198">
        <v>168212.13319999989</v>
      </c>
    </row>
    <row r="199" spans="2:8" x14ac:dyDescent="0.35">
      <c r="B199" t="s">
        <v>60</v>
      </c>
      <c r="C199">
        <v>342052.59999999974</v>
      </c>
      <c r="D199">
        <v>29863.979200000005</v>
      </c>
      <c r="E199">
        <v>379835.80000000028</v>
      </c>
      <c r="F199">
        <v>276096.20000000019</v>
      </c>
      <c r="G199">
        <v>311451.39999999991</v>
      </c>
      <c r="H199">
        <v>167985.58079999988</v>
      </c>
    </row>
    <row r="200" spans="2:8" x14ac:dyDescent="0.35">
      <c r="B200" t="s">
        <v>61</v>
      </c>
      <c r="C200">
        <v>342052.59999999974</v>
      </c>
      <c r="D200">
        <v>29671.851600000005</v>
      </c>
      <c r="E200">
        <v>376579.40000000031</v>
      </c>
      <c r="F200">
        <v>274700.60000000021</v>
      </c>
      <c r="G200">
        <v>308660.1999999999</v>
      </c>
      <c r="H200">
        <v>167759.02839999986</v>
      </c>
    </row>
    <row r="201" spans="2:8" x14ac:dyDescent="0.35">
      <c r="B201" t="s">
        <v>62</v>
      </c>
      <c r="C201">
        <v>342052.59999999974</v>
      </c>
      <c r="D201">
        <v>29479.724000000006</v>
      </c>
      <c r="E201">
        <v>373323.00000000035</v>
      </c>
      <c r="F201">
        <v>273305.00000000023</v>
      </c>
      <c r="G201">
        <v>305868.99999999988</v>
      </c>
      <c r="H201">
        <v>167532.47599999985</v>
      </c>
    </row>
    <row r="202" spans="2:8" x14ac:dyDescent="0.35">
      <c r="B202" t="s">
        <v>85</v>
      </c>
      <c r="C202">
        <v>342052.59999999974</v>
      </c>
      <c r="D202">
        <v>29479.724000000006</v>
      </c>
      <c r="E202">
        <v>373323.00000000035</v>
      </c>
      <c r="F202">
        <v>273305.00000000023</v>
      </c>
      <c r="G202">
        <v>305868.99999999988</v>
      </c>
      <c r="H202">
        <v>167532.47599999985</v>
      </c>
    </row>
    <row r="203" spans="2:8" x14ac:dyDescent="0.35">
      <c r="B203" t="s">
        <v>86</v>
      </c>
      <c r="C203">
        <v>342052.59999999974</v>
      </c>
      <c r="D203">
        <v>29479.724000000006</v>
      </c>
      <c r="E203">
        <v>373323.00000000035</v>
      </c>
      <c r="F203">
        <v>273305.00000000023</v>
      </c>
      <c r="G203">
        <v>305868.99999999988</v>
      </c>
      <c r="H203">
        <v>167532.47599999985</v>
      </c>
    </row>
    <row r="204" spans="2:8" x14ac:dyDescent="0.35">
      <c r="B204" t="s">
        <v>87</v>
      </c>
      <c r="C204">
        <v>342052.59999999974</v>
      </c>
      <c r="D204">
        <v>29479.724000000006</v>
      </c>
      <c r="E204">
        <v>373323.00000000035</v>
      </c>
      <c r="F204">
        <v>273305.00000000023</v>
      </c>
      <c r="G204">
        <v>305868.99999999988</v>
      </c>
      <c r="H204">
        <v>167532.47599999985</v>
      </c>
    </row>
    <row r="205" spans="2:8" x14ac:dyDescent="0.35">
      <c r="B205" t="s">
        <v>88</v>
      </c>
      <c r="C205">
        <v>342052.59999999974</v>
      </c>
      <c r="D205">
        <v>29479.724000000006</v>
      </c>
      <c r="E205">
        <v>373323.00000000035</v>
      </c>
      <c r="F205">
        <v>273305.00000000023</v>
      </c>
      <c r="G205">
        <v>305868.99999999988</v>
      </c>
      <c r="H205">
        <v>167532.47599999985</v>
      </c>
    </row>
    <row r="206" spans="2:8" x14ac:dyDescent="0.35">
      <c r="B206" t="s">
        <v>89</v>
      </c>
      <c r="C206">
        <v>342052.59999999974</v>
      </c>
      <c r="D206">
        <v>29479.724000000006</v>
      </c>
      <c r="E206">
        <v>373323.00000000035</v>
      </c>
      <c r="F206">
        <v>273305.00000000023</v>
      </c>
      <c r="G206">
        <v>305868.99999999988</v>
      </c>
      <c r="H206">
        <v>167532.47599999985</v>
      </c>
    </row>
    <row r="207" spans="2:8" x14ac:dyDescent="0.35">
      <c r="B207" t="s">
        <v>126</v>
      </c>
      <c r="C207">
        <v>342052.59999999974</v>
      </c>
      <c r="D207">
        <v>29479.724000000006</v>
      </c>
      <c r="E207">
        <v>373323.00000000035</v>
      </c>
      <c r="F207">
        <v>273305.00000000023</v>
      </c>
      <c r="G207">
        <v>305868.99999999988</v>
      </c>
      <c r="H207">
        <v>167532.47599999985</v>
      </c>
    </row>
    <row r="208" spans="2:8" x14ac:dyDescent="0.35">
      <c r="B208" t="s">
        <v>127</v>
      </c>
      <c r="C208">
        <v>342052.59999999974</v>
      </c>
      <c r="D208">
        <v>29479.724000000006</v>
      </c>
      <c r="E208">
        <v>373323.00000000035</v>
      </c>
      <c r="F208">
        <v>273305.00000000023</v>
      </c>
      <c r="G208">
        <v>305868.99999999988</v>
      </c>
      <c r="H208">
        <v>167532.47599999985</v>
      </c>
    </row>
    <row r="209" spans="1:30" x14ac:dyDescent="0.35">
      <c r="B209" t="s">
        <v>128</v>
      </c>
      <c r="C209">
        <v>342052.59999999974</v>
      </c>
      <c r="D209">
        <v>29479.724000000006</v>
      </c>
      <c r="E209">
        <v>373323.00000000035</v>
      </c>
      <c r="F209">
        <v>273305.00000000023</v>
      </c>
      <c r="G209">
        <v>305868.99999999988</v>
      </c>
      <c r="H209">
        <v>167532.47599999985</v>
      </c>
    </row>
    <row r="210" spans="1:30" x14ac:dyDescent="0.35">
      <c r="B210" t="s">
        <v>129</v>
      </c>
      <c r="C210">
        <v>342052.59999999974</v>
      </c>
      <c r="D210">
        <v>29479.724000000006</v>
      </c>
      <c r="E210">
        <v>373323.00000000035</v>
      </c>
      <c r="F210">
        <v>273305.00000000023</v>
      </c>
      <c r="G210">
        <v>305868.99999999988</v>
      </c>
      <c r="H210">
        <v>167532.47599999985</v>
      </c>
    </row>
    <row r="211" spans="1:30" x14ac:dyDescent="0.35">
      <c r="B211" t="s">
        <v>118</v>
      </c>
      <c r="C211">
        <v>342052.59999999974</v>
      </c>
      <c r="D211">
        <v>29479.724000000006</v>
      </c>
      <c r="E211">
        <v>373323.00000000035</v>
      </c>
      <c r="F211">
        <v>273305.00000000023</v>
      </c>
      <c r="G211">
        <v>305868.99999999988</v>
      </c>
      <c r="H211">
        <v>167532.47599999985</v>
      </c>
    </row>
    <row r="213" spans="1:30" x14ac:dyDescent="0.35">
      <c r="A213"/>
      <c r="B213" s="180" t="s">
        <v>64</v>
      </c>
      <c r="C213" s="180"/>
      <c r="D213" s="180"/>
      <c r="E213" s="180"/>
      <c r="F213" s="180"/>
      <c r="G213" s="180" t="s">
        <v>65</v>
      </c>
      <c r="H213" s="180"/>
      <c r="I213" s="180"/>
      <c r="J213" s="180" t="s">
        <v>66</v>
      </c>
      <c r="K213" s="180"/>
      <c r="L213" s="180"/>
      <c r="M213" s="180"/>
      <c r="N213" s="180"/>
      <c r="O213" s="180" t="s">
        <v>67</v>
      </c>
      <c r="P213" s="180"/>
      <c r="Q213" s="180"/>
      <c r="R213" s="180"/>
      <c r="S213" s="180"/>
      <c r="T213" s="180"/>
      <c r="U213" s="181" t="s">
        <v>68</v>
      </c>
      <c r="V213" s="182"/>
      <c r="W213" s="182"/>
      <c r="X213" s="182"/>
      <c r="Y213" s="183"/>
      <c r="Z213" s="180" t="s">
        <v>69</v>
      </c>
      <c r="AA213" s="180"/>
      <c r="AB213" s="180"/>
      <c r="AC213" s="180"/>
      <c r="AD213" s="180"/>
    </row>
    <row r="214" spans="1:30" x14ac:dyDescent="0.35">
      <c r="A214" s="36" t="s">
        <v>79</v>
      </c>
      <c r="B214" s="61" t="s">
        <v>70</v>
      </c>
      <c r="C214" s="61" t="s">
        <v>71</v>
      </c>
      <c r="D214" s="61" t="s">
        <v>72</v>
      </c>
      <c r="E214" s="61" t="s">
        <v>73</v>
      </c>
      <c r="F214" s="61" t="s">
        <v>74</v>
      </c>
      <c r="G214" s="61" t="s">
        <v>70</v>
      </c>
      <c r="H214" s="61" t="s">
        <v>72</v>
      </c>
      <c r="I214" s="61" t="s">
        <v>74</v>
      </c>
      <c r="J214" s="61" t="s">
        <v>70</v>
      </c>
      <c r="K214" s="61" t="s">
        <v>75</v>
      </c>
      <c r="L214" s="61" t="s">
        <v>72</v>
      </c>
      <c r="M214" s="61" t="s">
        <v>74</v>
      </c>
      <c r="N214" s="61" t="s">
        <v>76</v>
      </c>
      <c r="O214" s="61" t="s">
        <v>70</v>
      </c>
      <c r="P214" s="61" t="s">
        <v>77</v>
      </c>
      <c r="Q214" s="61" t="s">
        <v>72</v>
      </c>
      <c r="R214" s="61" t="s">
        <v>73</v>
      </c>
      <c r="S214" s="61" t="s">
        <v>74</v>
      </c>
      <c r="T214" s="61" t="s">
        <v>71</v>
      </c>
      <c r="U214" s="61" t="s">
        <v>70</v>
      </c>
      <c r="V214" s="61" t="s">
        <v>77</v>
      </c>
      <c r="W214" s="61" t="s">
        <v>71</v>
      </c>
      <c r="X214" s="61" t="s">
        <v>72</v>
      </c>
      <c r="Y214" s="61" t="s">
        <v>74</v>
      </c>
      <c r="Z214" s="34" t="s">
        <v>70</v>
      </c>
      <c r="AA214" s="34" t="s">
        <v>77</v>
      </c>
      <c r="AB214" s="34" t="s">
        <v>72</v>
      </c>
      <c r="AC214" s="34" t="s">
        <v>74</v>
      </c>
      <c r="AD214" s="61" t="s">
        <v>71</v>
      </c>
    </row>
    <row r="215" spans="1:30" x14ac:dyDescent="0.35">
      <c r="A215"/>
    </row>
    <row r="216" spans="1:30" x14ac:dyDescent="0.35">
      <c r="A216" s="33">
        <v>2020</v>
      </c>
      <c r="B216" s="4">
        <v>1.70549842494939E-2</v>
      </c>
      <c r="C216" s="4">
        <v>9.7543505748386595E-3</v>
      </c>
      <c r="D216" s="4">
        <v>0.95730713852405691</v>
      </c>
      <c r="E216" s="4">
        <v>6.8211751120076589E-3</v>
      </c>
      <c r="F216" s="4">
        <v>9.0623515396028396E-3</v>
      </c>
      <c r="G216">
        <v>0.18937725025722213</v>
      </c>
      <c r="H216">
        <v>0.76319057331563145</v>
      </c>
      <c r="I216">
        <v>4.7432176427146464E-2</v>
      </c>
      <c r="J216">
        <v>3.001274344849188E-2</v>
      </c>
      <c r="K216">
        <v>4.3647087577094491E-2</v>
      </c>
      <c r="L216">
        <v>0.8929624524847033</v>
      </c>
      <c r="M216">
        <v>3.3377716489710378E-2</v>
      </c>
      <c r="N216" s="4">
        <v>0</v>
      </c>
      <c r="O216">
        <v>0.43006070554877496</v>
      </c>
      <c r="P216">
        <v>0.11458099314064607</v>
      </c>
      <c r="Q216">
        <v>7.4782030304806874E-2</v>
      </c>
      <c r="R216" s="4">
        <v>1.7454289627825418E-2</v>
      </c>
      <c r="S216">
        <v>0.3445704083101046</v>
      </c>
      <c r="T216">
        <v>1.8551573067842046E-2</v>
      </c>
      <c r="U216" s="4">
        <v>0.18571172597225771</v>
      </c>
      <c r="V216">
        <v>2.8367081657872353E-2</v>
      </c>
      <c r="W216">
        <v>0.20515836529310044</v>
      </c>
      <c r="X216">
        <v>6.1040695112417012E-2</v>
      </c>
      <c r="Y216">
        <v>0.51972213196435235</v>
      </c>
      <c r="Z216">
        <v>0.39082612967965707</v>
      </c>
      <c r="AA216">
        <v>1.7687438434504578E-2</v>
      </c>
      <c r="AB216">
        <v>3.1028103761602695E-2</v>
      </c>
      <c r="AC216">
        <v>0.40405862696035705</v>
      </c>
      <c r="AD216">
        <v>0.15639970116387852</v>
      </c>
    </row>
    <row r="217" spans="1:30" x14ac:dyDescent="0.35">
      <c r="A217" s="33">
        <f t="shared" ref="A217:A246" si="176">A216+1</f>
        <v>2021</v>
      </c>
      <c r="B217" s="4">
        <v>1.7054984249493865E-2</v>
      </c>
      <c r="C217" s="4">
        <v>9.7543505748386578E-3</v>
      </c>
      <c r="D217" s="4">
        <v>0.95730713852405691</v>
      </c>
      <c r="E217" s="4">
        <v>6.8211751120076589E-3</v>
      </c>
      <c r="F217" s="4">
        <v>9.0623515396028396E-3</v>
      </c>
      <c r="G217">
        <v>0.18937725025722213</v>
      </c>
      <c r="H217">
        <v>0.76319057331563145</v>
      </c>
      <c r="I217">
        <v>4.7432176427146464E-2</v>
      </c>
      <c r="J217">
        <v>3.001274344849188E-2</v>
      </c>
      <c r="K217">
        <v>4.3647087577094491E-2</v>
      </c>
      <c r="L217">
        <v>0.8929624524847033</v>
      </c>
      <c r="M217">
        <v>3.3377716489710378E-2</v>
      </c>
      <c r="N217" s="4">
        <v>0</v>
      </c>
      <c r="O217">
        <v>0.43006070554877496</v>
      </c>
      <c r="P217">
        <v>0.11458099314064607</v>
      </c>
      <c r="Q217">
        <v>7.4782030304806874E-2</v>
      </c>
      <c r="R217" s="4">
        <v>1.7454289627825418E-2</v>
      </c>
      <c r="S217">
        <v>0.3445704083101046</v>
      </c>
      <c r="T217">
        <v>1.8551573067842046E-2</v>
      </c>
      <c r="U217" s="4">
        <v>0.18571172597225771</v>
      </c>
      <c r="V217">
        <v>2.8367081657872353E-2</v>
      </c>
      <c r="W217">
        <v>0.20515836529310044</v>
      </c>
      <c r="X217">
        <v>6.1040695112417012E-2</v>
      </c>
      <c r="Y217">
        <v>0.51972213196435235</v>
      </c>
      <c r="Z217">
        <v>0.39082612967965707</v>
      </c>
      <c r="AA217">
        <v>1.7687438434504578E-2</v>
      </c>
      <c r="AB217">
        <v>3.1028103761602695E-2</v>
      </c>
      <c r="AC217">
        <v>0.40405862696035705</v>
      </c>
      <c r="AD217">
        <v>0.15639970116387852</v>
      </c>
    </row>
    <row r="218" spans="1:30" x14ac:dyDescent="0.35">
      <c r="A218" s="33">
        <f t="shared" si="176"/>
        <v>2022</v>
      </c>
      <c r="B218" s="4">
        <v>1.7054984249493865E-2</v>
      </c>
      <c r="C218" s="4">
        <v>9.7543505748386578E-3</v>
      </c>
      <c r="D218" s="4">
        <v>0.95730713852405691</v>
      </c>
      <c r="E218" s="4">
        <v>6.8211751120076589E-3</v>
      </c>
      <c r="F218" s="4">
        <v>9.0623515396028396E-3</v>
      </c>
      <c r="G218">
        <v>0.18937725025722213</v>
      </c>
      <c r="H218">
        <v>0.76319057331563145</v>
      </c>
      <c r="I218">
        <v>4.7432176427146464E-2</v>
      </c>
      <c r="J218">
        <v>3.001274344849188E-2</v>
      </c>
      <c r="K218">
        <v>4.3647087577094491E-2</v>
      </c>
      <c r="L218">
        <v>0.8929624524847033</v>
      </c>
      <c r="M218">
        <v>3.3377716489710378E-2</v>
      </c>
      <c r="N218" s="4">
        <v>0</v>
      </c>
      <c r="O218">
        <v>0.43006070554877496</v>
      </c>
      <c r="P218">
        <v>0.11458099314064607</v>
      </c>
      <c r="Q218">
        <v>7.4782030304806874E-2</v>
      </c>
      <c r="R218" s="4">
        <v>1.7454289627825418E-2</v>
      </c>
      <c r="S218">
        <v>0.3445704083101046</v>
      </c>
      <c r="T218">
        <v>1.8551573067842046E-2</v>
      </c>
      <c r="U218" s="4">
        <v>0.18571172597225771</v>
      </c>
      <c r="V218">
        <v>2.8367081657872353E-2</v>
      </c>
      <c r="W218">
        <v>0.20515836529310044</v>
      </c>
      <c r="X218">
        <v>6.1040695112417012E-2</v>
      </c>
      <c r="Y218">
        <v>0.51972213196435235</v>
      </c>
      <c r="Z218">
        <v>0.39082612967965707</v>
      </c>
      <c r="AA218">
        <v>1.7687438434504578E-2</v>
      </c>
      <c r="AB218">
        <v>3.1028103761602695E-2</v>
      </c>
      <c r="AC218">
        <v>0.40405862696035705</v>
      </c>
      <c r="AD218">
        <v>0.15639970116387852</v>
      </c>
    </row>
    <row r="219" spans="1:30" x14ac:dyDescent="0.35">
      <c r="A219" s="33">
        <f t="shared" si="176"/>
        <v>2023</v>
      </c>
      <c r="B219" s="4">
        <v>1.7054984249493865E-2</v>
      </c>
      <c r="C219" s="4">
        <v>9.7543505748386578E-3</v>
      </c>
      <c r="D219" s="4">
        <v>0.95730713852405691</v>
      </c>
      <c r="E219" s="4">
        <v>6.8211751120076589E-3</v>
      </c>
      <c r="F219" s="4">
        <v>9.0623515396028396E-3</v>
      </c>
      <c r="G219">
        <v>0.18937725025722213</v>
      </c>
      <c r="H219">
        <v>0.76319057331563145</v>
      </c>
      <c r="I219">
        <v>4.7432176427146464E-2</v>
      </c>
      <c r="J219">
        <v>3.001274344849188E-2</v>
      </c>
      <c r="K219">
        <v>4.3647087577094491E-2</v>
      </c>
      <c r="L219">
        <v>0.8929624524847033</v>
      </c>
      <c r="M219">
        <v>3.3377716489710378E-2</v>
      </c>
      <c r="N219" s="4">
        <v>0</v>
      </c>
      <c r="O219">
        <v>0.43006070554877496</v>
      </c>
      <c r="P219">
        <v>0.11458099314064607</v>
      </c>
      <c r="Q219">
        <v>7.4782030304806874E-2</v>
      </c>
      <c r="R219" s="4">
        <v>1.7454289627825418E-2</v>
      </c>
      <c r="S219">
        <v>0.3445704083101046</v>
      </c>
      <c r="T219">
        <v>1.8551573067842046E-2</v>
      </c>
      <c r="U219" s="4">
        <v>0.18571172597225771</v>
      </c>
      <c r="V219">
        <v>2.8367081657872353E-2</v>
      </c>
      <c r="W219">
        <v>0.20515836529310044</v>
      </c>
      <c r="X219">
        <v>6.1040695112417012E-2</v>
      </c>
      <c r="Y219">
        <v>0.51972213196435235</v>
      </c>
      <c r="Z219">
        <v>0.39082612967965707</v>
      </c>
      <c r="AA219">
        <v>1.7687438434504578E-2</v>
      </c>
      <c r="AB219">
        <v>3.1028103761602695E-2</v>
      </c>
      <c r="AC219">
        <v>0.40405862696035705</v>
      </c>
      <c r="AD219">
        <v>0.15639970116387852</v>
      </c>
    </row>
    <row r="220" spans="1:30" x14ac:dyDescent="0.35">
      <c r="A220" s="33">
        <f t="shared" si="176"/>
        <v>2024</v>
      </c>
      <c r="B220" s="4">
        <v>1.7054984249493865E-2</v>
      </c>
      <c r="C220" s="4">
        <v>9.7543505748386578E-3</v>
      </c>
      <c r="D220" s="4">
        <v>0.95730713852405691</v>
      </c>
      <c r="E220" s="4">
        <v>6.8211751120076589E-3</v>
      </c>
      <c r="F220" s="4">
        <v>9.0623515396028396E-3</v>
      </c>
      <c r="G220">
        <v>0.18937725025722213</v>
      </c>
      <c r="H220">
        <v>0.76319057331563145</v>
      </c>
      <c r="I220">
        <v>4.7432176427146464E-2</v>
      </c>
      <c r="J220">
        <v>3.001274344849188E-2</v>
      </c>
      <c r="K220">
        <v>4.3647087577094491E-2</v>
      </c>
      <c r="L220">
        <v>0.8929624524847033</v>
      </c>
      <c r="M220">
        <v>3.3377716489710378E-2</v>
      </c>
      <c r="N220" s="4">
        <v>0</v>
      </c>
      <c r="O220">
        <v>0.43006070554877496</v>
      </c>
      <c r="P220">
        <v>0.11458099314064607</v>
      </c>
      <c r="Q220">
        <v>7.4782030304806874E-2</v>
      </c>
      <c r="R220" s="4">
        <v>1.7454289627825418E-2</v>
      </c>
      <c r="S220">
        <v>0.3445704083101046</v>
      </c>
      <c r="T220">
        <v>1.8551573067842046E-2</v>
      </c>
      <c r="U220" s="4">
        <v>0.18571172597225771</v>
      </c>
      <c r="V220">
        <v>2.8367081657872353E-2</v>
      </c>
      <c r="W220">
        <v>0.20515836529310044</v>
      </c>
      <c r="X220">
        <v>6.1040695112417012E-2</v>
      </c>
      <c r="Y220">
        <v>0.51972213196435235</v>
      </c>
      <c r="Z220">
        <v>0.39082612967965707</v>
      </c>
      <c r="AA220">
        <v>1.7687438434504578E-2</v>
      </c>
      <c r="AB220">
        <v>3.1028103761602695E-2</v>
      </c>
      <c r="AC220">
        <v>0.40405862696035705</v>
      </c>
      <c r="AD220">
        <v>0.15639970116387852</v>
      </c>
    </row>
    <row r="221" spans="1:30" x14ac:dyDescent="0.35">
      <c r="A221" s="33">
        <f t="shared" si="176"/>
        <v>2025</v>
      </c>
      <c r="B221" s="4">
        <v>1.7054984249493865E-2</v>
      </c>
      <c r="C221" s="4">
        <v>9.7543505748386578E-3</v>
      </c>
      <c r="D221" s="4">
        <v>0.95730713852405691</v>
      </c>
      <c r="E221" s="4">
        <v>6.8211751120076589E-3</v>
      </c>
      <c r="F221" s="4">
        <v>9.0623515396028396E-3</v>
      </c>
      <c r="G221">
        <v>0.18937725025722213</v>
      </c>
      <c r="H221">
        <v>0.76319057331563145</v>
      </c>
      <c r="I221">
        <v>4.7432176427146464E-2</v>
      </c>
      <c r="J221">
        <v>3.001274344849188E-2</v>
      </c>
      <c r="K221">
        <v>4.3647087577094491E-2</v>
      </c>
      <c r="L221">
        <v>0.8929624524847033</v>
      </c>
      <c r="M221">
        <v>3.3377716489710378E-2</v>
      </c>
      <c r="N221" s="4">
        <v>0</v>
      </c>
      <c r="O221">
        <v>0.43006070554877496</v>
      </c>
      <c r="P221">
        <v>0.11458099314064607</v>
      </c>
      <c r="Q221">
        <v>7.4782030304806874E-2</v>
      </c>
      <c r="R221" s="4">
        <v>1.7454289627825418E-2</v>
      </c>
      <c r="S221">
        <v>0.3445704083101046</v>
      </c>
      <c r="T221">
        <v>1.8551573067842046E-2</v>
      </c>
      <c r="U221" s="4">
        <v>0.18571172597225771</v>
      </c>
      <c r="V221">
        <v>2.8367081657872353E-2</v>
      </c>
      <c r="W221">
        <v>0.20515836529310044</v>
      </c>
      <c r="X221">
        <v>6.1040695112417012E-2</v>
      </c>
      <c r="Y221">
        <v>0.51972213196435235</v>
      </c>
      <c r="Z221">
        <v>0.39082612967965707</v>
      </c>
      <c r="AA221">
        <v>1.7687438434504578E-2</v>
      </c>
      <c r="AB221">
        <v>3.1028103761602695E-2</v>
      </c>
      <c r="AC221">
        <v>0.40405862696035705</v>
      </c>
      <c r="AD221">
        <v>0.15639970116387852</v>
      </c>
    </row>
    <row r="222" spans="1:30" x14ac:dyDescent="0.35">
      <c r="A222" s="33">
        <f t="shared" si="176"/>
        <v>2026</v>
      </c>
      <c r="B222" s="4">
        <v>1.7054984249493865E-2</v>
      </c>
      <c r="C222" s="4">
        <v>9.7543505748386578E-3</v>
      </c>
      <c r="D222" s="4">
        <v>0.95730713852405691</v>
      </c>
      <c r="E222" s="4">
        <v>6.8211751120076589E-3</v>
      </c>
      <c r="F222" s="4">
        <v>9.0623515396028396E-3</v>
      </c>
      <c r="G222">
        <v>0.18937725025722213</v>
      </c>
      <c r="H222">
        <v>0.76319057331563145</v>
      </c>
      <c r="I222">
        <v>4.7432176427146464E-2</v>
      </c>
      <c r="J222">
        <v>3.001274344849188E-2</v>
      </c>
      <c r="K222">
        <v>4.3647087577094491E-2</v>
      </c>
      <c r="L222">
        <v>0.8929624524847033</v>
      </c>
      <c r="M222">
        <v>3.3377716489710378E-2</v>
      </c>
      <c r="N222" s="4">
        <v>0</v>
      </c>
      <c r="O222">
        <v>0.43006070554877496</v>
      </c>
      <c r="P222">
        <v>0.11458099314064607</v>
      </c>
      <c r="Q222">
        <v>7.4782030304806874E-2</v>
      </c>
      <c r="R222" s="4">
        <v>1.7454289627825418E-2</v>
      </c>
      <c r="S222">
        <v>0.3445704083101046</v>
      </c>
      <c r="T222">
        <v>1.8551573067842046E-2</v>
      </c>
      <c r="U222" s="4">
        <v>0.18571172597225771</v>
      </c>
      <c r="V222">
        <v>2.8367081657872353E-2</v>
      </c>
      <c r="W222">
        <v>0.20515836529310044</v>
      </c>
      <c r="X222">
        <v>6.1040695112417012E-2</v>
      </c>
      <c r="Y222">
        <v>0.51972213196435235</v>
      </c>
      <c r="Z222">
        <v>0.39082612967965707</v>
      </c>
      <c r="AA222">
        <v>1.7687438434504578E-2</v>
      </c>
      <c r="AB222">
        <v>3.1028103761602695E-2</v>
      </c>
      <c r="AC222">
        <v>0.40405862696035705</v>
      </c>
      <c r="AD222">
        <v>0.15639970116387852</v>
      </c>
    </row>
    <row r="223" spans="1:30" x14ac:dyDescent="0.35">
      <c r="A223" s="33">
        <f t="shared" si="176"/>
        <v>2027</v>
      </c>
      <c r="B223" s="4">
        <v>1.7054984249493865E-2</v>
      </c>
      <c r="C223" s="4">
        <v>9.7543505748386578E-3</v>
      </c>
      <c r="D223" s="4">
        <v>0.95730713852405691</v>
      </c>
      <c r="E223" s="4">
        <v>6.8211751120076589E-3</v>
      </c>
      <c r="F223" s="4">
        <v>9.0623515396028396E-3</v>
      </c>
      <c r="G223">
        <v>0.18937725025722213</v>
      </c>
      <c r="H223">
        <v>0.76319057331563145</v>
      </c>
      <c r="I223">
        <v>4.7432176427146464E-2</v>
      </c>
      <c r="J223">
        <v>3.001274344849188E-2</v>
      </c>
      <c r="K223">
        <v>4.3647087577094491E-2</v>
      </c>
      <c r="L223">
        <v>0.8929624524847033</v>
      </c>
      <c r="M223">
        <v>3.3377716489710378E-2</v>
      </c>
      <c r="N223" s="4">
        <v>0</v>
      </c>
      <c r="O223">
        <v>0.43006070554877496</v>
      </c>
      <c r="P223">
        <v>0.11458099314064607</v>
      </c>
      <c r="Q223">
        <v>7.4782030304806874E-2</v>
      </c>
      <c r="R223" s="4">
        <v>1.7454289627825418E-2</v>
      </c>
      <c r="S223">
        <v>0.3445704083101046</v>
      </c>
      <c r="T223">
        <v>1.8551573067842046E-2</v>
      </c>
      <c r="U223" s="4">
        <v>0.18571172597225771</v>
      </c>
      <c r="V223">
        <v>2.8367081657872353E-2</v>
      </c>
      <c r="W223">
        <v>0.20515836529310044</v>
      </c>
      <c r="X223">
        <v>6.1040695112417012E-2</v>
      </c>
      <c r="Y223">
        <v>0.51972213196435235</v>
      </c>
      <c r="Z223">
        <v>0.39082612967965707</v>
      </c>
      <c r="AA223">
        <v>1.7687438434504578E-2</v>
      </c>
      <c r="AB223">
        <v>3.1028103761602695E-2</v>
      </c>
      <c r="AC223">
        <v>0.40405862696035705</v>
      </c>
      <c r="AD223">
        <v>0.15639970116387852</v>
      </c>
    </row>
    <row r="224" spans="1:30" x14ac:dyDescent="0.35">
      <c r="A224" s="33">
        <f t="shared" si="176"/>
        <v>2028</v>
      </c>
      <c r="B224" s="4">
        <v>1.7054984249493865E-2</v>
      </c>
      <c r="C224" s="4">
        <v>9.7543505748386578E-3</v>
      </c>
      <c r="D224" s="4">
        <v>0.95730713852405691</v>
      </c>
      <c r="E224" s="4">
        <v>6.8211751120076589E-3</v>
      </c>
      <c r="F224" s="4">
        <v>9.0623515396028396E-3</v>
      </c>
      <c r="G224">
        <v>0.18937725025722213</v>
      </c>
      <c r="H224">
        <v>0.76319057331563145</v>
      </c>
      <c r="I224">
        <v>4.7432176427146464E-2</v>
      </c>
      <c r="J224">
        <v>3.001274344849188E-2</v>
      </c>
      <c r="K224">
        <v>4.3647087577094491E-2</v>
      </c>
      <c r="L224">
        <v>0.8929624524847033</v>
      </c>
      <c r="M224">
        <v>3.3377716489710378E-2</v>
      </c>
      <c r="N224" s="4">
        <v>0</v>
      </c>
      <c r="O224">
        <v>0.43006070554877496</v>
      </c>
      <c r="P224">
        <v>0.11458099314064607</v>
      </c>
      <c r="Q224">
        <v>7.4782030304806874E-2</v>
      </c>
      <c r="R224" s="4">
        <v>1.7454289627825418E-2</v>
      </c>
      <c r="S224">
        <v>0.3445704083101046</v>
      </c>
      <c r="T224">
        <v>1.8551573067842046E-2</v>
      </c>
      <c r="U224" s="4">
        <v>0.18571172597225771</v>
      </c>
      <c r="V224">
        <v>2.8367081657872353E-2</v>
      </c>
      <c r="W224">
        <v>0.20515836529310044</v>
      </c>
      <c r="X224">
        <v>6.1040695112417012E-2</v>
      </c>
      <c r="Y224">
        <v>0.51972213196435235</v>
      </c>
      <c r="Z224">
        <v>0.39082612967965707</v>
      </c>
      <c r="AA224">
        <v>1.7687438434504578E-2</v>
      </c>
      <c r="AB224">
        <v>3.1028103761602695E-2</v>
      </c>
      <c r="AC224">
        <v>0.40405862696035705</v>
      </c>
      <c r="AD224">
        <v>0.15639970116387852</v>
      </c>
    </row>
    <row r="225" spans="1:30" x14ac:dyDescent="0.35">
      <c r="A225" s="33">
        <f t="shared" si="176"/>
        <v>2029</v>
      </c>
      <c r="B225" s="4">
        <v>1.7054984249493865E-2</v>
      </c>
      <c r="C225" s="4">
        <v>9.7543505748386578E-3</v>
      </c>
      <c r="D225" s="4">
        <v>0.95730713852405691</v>
      </c>
      <c r="E225" s="4">
        <v>6.8211751120076589E-3</v>
      </c>
      <c r="F225" s="4">
        <v>9.0623515396028396E-3</v>
      </c>
      <c r="G225">
        <v>0.18937725025722213</v>
      </c>
      <c r="H225">
        <v>0.76319057331563145</v>
      </c>
      <c r="I225">
        <v>4.7432176427146464E-2</v>
      </c>
      <c r="J225">
        <v>3.001274344849188E-2</v>
      </c>
      <c r="K225">
        <v>4.3647087577094491E-2</v>
      </c>
      <c r="L225">
        <v>0.8929624524847033</v>
      </c>
      <c r="M225">
        <v>3.3377716489710378E-2</v>
      </c>
      <c r="N225" s="4">
        <v>0</v>
      </c>
      <c r="O225">
        <v>0.43006070554877496</v>
      </c>
      <c r="P225">
        <v>0.11458099314064607</v>
      </c>
      <c r="Q225">
        <v>7.4782030304806874E-2</v>
      </c>
      <c r="R225" s="4">
        <v>1.7454289627825418E-2</v>
      </c>
      <c r="S225">
        <v>0.3445704083101046</v>
      </c>
      <c r="T225">
        <v>1.8551573067842046E-2</v>
      </c>
      <c r="U225" s="4">
        <v>0.18571172597225771</v>
      </c>
      <c r="V225">
        <v>2.8367081657872353E-2</v>
      </c>
      <c r="W225">
        <v>0.20515836529310044</v>
      </c>
      <c r="X225">
        <v>6.1040695112417012E-2</v>
      </c>
      <c r="Y225">
        <v>0.51972213196435235</v>
      </c>
      <c r="Z225">
        <v>0.39082612967965707</v>
      </c>
      <c r="AA225">
        <v>1.7687438434504578E-2</v>
      </c>
      <c r="AB225">
        <v>3.1028103761602695E-2</v>
      </c>
      <c r="AC225">
        <v>0.40405862696035705</v>
      </c>
      <c r="AD225">
        <v>0.15639970116387852</v>
      </c>
    </row>
    <row r="226" spans="1:30" x14ac:dyDescent="0.35">
      <c r="A226" s="33">
        <f t="shared" si="176"/>
        <v>2030</v>
      </c>
      <c r="B226" s="4">
        <v>1.7054984249493865E-2</v>
      </c>
      <c r="C226" s="4">
        <v>9.7543505748386578E-3</v>
      </c>
      <c r="D226" s="4">
        <v>0.95730713852405691</v>
      </c>
      <c r="E226" s="4">
        <v>6.8211751120076589E-3</v>
      </c>
      <c r="F226" s="4">
        <v>9.0623515396028396E-3</v>
      </c>
      <c r="G226">
        <v>0.18937725025722213</v>
      </c>
      <c r="H226">
        <v>0.76319057331563145</v>
      </c>
      <c r="I226">
        <v>4.7432176427146464E-2</v>
      </c>
      <c r="J226">
        <v>3.001274344849188E-2</v>
      </c>
      <c r="K226">
        <v>4.3647087577094491E-2</v>
      </c>
      <c r="L226">
        <v>0.8929624524847033</v>
      </c>
      <c r="M226">
        <v>3.3377716489710378E-2</v>
      </c>
      <c r="N226" s="4">
        <v>0</v>
      </c>
      <c r="O226">
        <v>0.43006070554877496</v>
      </c>
      <c r="P226">
        <v>0.11458099314064607</v>
      </c>
      <c r="Q226">
        <v>7.4782030304806874E-2</v>
      </c>
      <c r="R226" s="4">
        <v>1.7454289627825418E-2</v>
      </c>
      <c r="S226">
        <v>0.3445704083101046</v>
      </c>
      <c r="T226">
        <v>1.8551573067842046E-2</v>
      </c>
      <c r="U226" s="4">
        <v>0.18571172597225771</v>
      </c>
      <c r="V226">
        <v>2.8367081657872353E-2</v>
      </c>
      <c r="W226">
        <v>0.20515836529310044</v>
      </c>
      <c r="X226">
        <v>6.1040695112417012E-2</v>
      </c>
      <c r="Y226">
        <v>0.51972213196435235</v>
      </c>
      <c r="Z226">
        <v>0.39082612967965707</v>
      </c>
      <c r="AA226">
        <v>1.7687438434504578E-2</v>
      </c>
      <c r="AB226">
        <v>3.1028103761602695E-2</v>
      </c>
      <c r="AC226">
        <v>0.40405862696035705</v>
      </c>
      <c r="AD226">
        <v>0.15639970116387852</v>
      </c>
    </row>
    <row r="227" spans="1:30" x14ac:dyDescent="0.35">
      <c r="A227" s="33">
        <f t="shared" si="176"/>
        <v>2031</v>
      </c>
      <c r="B227" s="4">
        <v>1.7054984249493865E-2</v>
      </c>
      <c r="C227" s="4">
        <v>9.7543505748386578E-3</v>
      </c>
      <c r="D227" s="4">
        <v>0.95730713852405691</v>
      </c>
      <c r="E227" s="4">
        <v>6.8211751120076589E-3</v>
      </c>
      <c r="F227" s="4">
        <v>9.0623515396028396E-3</v>
      </c>
      <c r="G227">
        <v>0.18937725025722213</v>
      </c>
      <c r="H227">
        <v>0.76319057331563145</v>
      </c>
      <c r="I227">
        <v>4.7432176427146464E-2</v>
      </c>
      <c r="J227">
        <v>3.001274344849188E-2</v>
      </c>
      <c r="K227">
        <v>4.3647087577094491E-2</v>
      </c>
      <c r="L227">
        <v>0.8929624524847033</v>
      </c>
      <c r="M227">
        <v>3.3377716489710378E-2</v>
      </c>
      <c r="N227" s="4">
        <v>0</v>
      </c>
      <c r="O227">
        <v>0.43006070554877496</v>
      </c>
      <c r="P227">
        <v>0.11458099314064607</v>
      </c>
      <c r="Q227">
        <v>7.4782030304806874E-2</v>
      </c>
      <c r="R227" s="4">
        <v>1.7454289627825418E-2</v>
      </c>
      <c r="S227">
        <v>0.3445704083101046</v>
      </c>
      <c r="T227">
        <v>1.8551573067842046E-2</v>
      </c>
      <c r="U227" s="4">
        <v>0.18571172597225771</v>
      </c>
      <c r="V227">
        <v>2.8367081657872353E-2</v>
      </c>
      <c r="W227">
        <v>0.20515836529310044</v>
      </c>
      <c r="X227">
        <v>6.1040695112417012E-2</v>
      </c>
      <c r="Y227">
        <v>0.51972213196435235</v>
      </c>
      <c r="Z227">
        <v>0.39082612967965707</v>
      </c>
      <c r="AA227">
        <v>1.7687438434504578E-2</v>
      </c>
      <c r="AB227">
        <v>3.1028103761602695E-2</v>
      </c>
      <c r="AC227">
        <v>0.40405862696035705</v>
      </c>
      <c r="AD227">
        <v>0.15639970116387852</v>
      </c>
    </row>
    <row r="228" spans="1:30" x14ac:dyDescent="0.35">
      <c r="A228" s="33">
        <f t="shared" si="176"/>
        <v>2032</v>
      </c>
      <c r="B228" s="4">
        <v>1.7054984249493865E-2</v>
      </c>
      <c r="C228" s="4">
        <v>9.7543505748386578E-3</v>
      </c>
      <c r="D228" s="4">
        <v>0.95730713852405691</v>
      </c>
      <c r="E228" s="4">
        <v>6.8211751120076589E-3</v>
      </c>
      <c r="F228" s="4">
        <v>9.0623515396028396E-3</v>
      </c>
      <c r="G228">
        <v>0.18937725025722213</v>
      </c>
      <c r="H228">
        <v>0.76319057331563145</v>
      </c>
      <c r="I228">
        <v>4.7432176427146464E-2</v>
      </c>
      <c r="J228">
        <v>3.001274344849188E-2</v>
      </c>
      <c r="K228">
        <v>4.3647087577094491E-2</v>
      </c>
      <c r="L228">
        <v>0.8929624524847033</v>
      </c>
      <c r="M228">
        <v>3.3377716489710378E-2</v>
      </c>
      <c r="N228" s="4">
        <v>0</v>
      </c>
      <c r="O228">
        <v>0.43006070554877496</v>
      </c>
      <c r="P228">
        <v>0.11458099314064607</v>
      </c>
      <c r="Q228">
        <v>7.4782030304806874E-2</v>
      </c>
      <c r="R228" s="4">
        <v>1.7454289627825418E-2</v>
      </c>
      <c r="S228">
        <v>0.3445704083101046</v>
      </c>
      <c r="T228">
        <v>1.8551573067842046E-2</v>
      </c>
      <c r="U228" s="4">
        <v>0.18571172597225771</v>
      </c>
      <c r="V228">
        <v>2.8367081657872353E-2</v>
      </c>
      <c r="W228">
        <v>0.20515836529310044</v>
      </c>
      <c r="X228">
        <v>6.1040695112417012E-2</v>
      </c>
      <c r="Y228">
        <v>0.51972213196435235</v>
      </c>
      <c r="Z228">
        <v>0.39082612967965707</v>
      </c>
      <c r="AA228">
        <v>1.7687438434504578E-2</v>
      </c>
      <c r="AB228">
        <v>3.1028103761602695E-2</v>
      </c>
      <c r="AC228">
        <v>0.40405862696035705</v>
      </c>
      <c r="AD228">
        <v>0.15639970116387852</v>
      </c>
    </row>
    <row r="229" spans="1:30" x14ac:dyDescent="0.35">
      <c r="A229" s="33">
        <f t="shared" si="176"/>
        <v>2033</v>
      </c>
      <c r="B229" s="4">
        <v>1.7054984249493865E-2</v>
      </c>
      <c r="C229" s="4">
        <v>9.7543505748386578E-3</v>
      </c>
      <c r="D229" s="4">
        <v>0.95730713852405691</v>
      </c>
      <c r="E229" s="4">
        <v>6.8211751120076589E-3</v>
      </c>
      <c r="F229" s="4">
        <v>9.0623515396028396E-3</v>
      </c>
      <c r="G229">
        <v>0.18937725025722213</v>
      </c>
      <c r="H229">
        <v>0.76319057331563145</v>
      </c>
      <c r="I229">
        <v>4.7432176427146464E-2</v>
      </c>
      <c r="J229">
        <v>3.001274344849188E-2</v>
      </c>
      <c r="K229">
        <v>4.3647087577094491E-2</v>
      </c>
      <c r="L229">
        <v>0.8929624524847033</v>
      </c>
      <c r="M229">
        <v>3.3377716489710378E-2</v>
      </c>
      <c r="N229" s="4">
        <v>0</v>
      </c>
      <c r="O229">
        <v>0.43006070554877496</v>
      </c>
      <c r="P229">
        <v>0.11458099314064607</v>
      </c>
      <c r="Q229">
        <v>7.4782030304806874E-2</v>
      </c>
      <c r="R229" s="4">
        <v>1.7454289627825418E-2</v>
      </c>
      <c r="S229">
        <v>0.3445704083101046</v>
      </c>
      <c r="T229">
        <v>1.8551573067842046E-2</v>
      </c>
      <c r="U229" s="4">
        <v>0.18571172597225771</v>
      </c>
      <c r="V229">
        <v>2.8367081657872353E-2</v>
      </c>
      <c r="W229">
        <v>0.20515836529310044</v>
      </c>
      <c r="X229">
        <v>6.1040695112417012E-2</v>
      </c>
      <c r="Y229">
        <v>0.51972213196435235</v>
      </c>
      <c r="Z229">
        <v>0.39082612967965707</v>
      </c>
      <c r="AA229">
        <v>1.7687438434504578E-2</v>
      </c>
      <c r="AB229">
        <v>3.1028103761602695E-2</v>
      </c>
      <c r="AC229">
        <v>0.40405862696035705</v>
      </c>
      <c r="AD229">
        <v>0.15639970116387852</v>
      </c>
    </row>
    <row r="230" spans="1:30" x14ac:dyDescent="0.35">
      <c r="A230" s="33">
        <f t="shared" si="176"/>
        <v>2034</v>
      </c>
      <c r="B230" s="4">
        <v>1.7054984249493865E-2</v>
      </c>
      <c r="C230" s="4">
        <v>9.7543505748386578E-3</v>
      </c>
      <c r="D230" s="4">
        <v>0.95730713852405691</v>
      </c>
      <c r="E230" s="4">
        <v>6.8211751120076589E-3</v>
      </c>
      <c r="F230" s="4">
        <v>9.0623515396028396E-3</v>
      </c>
      <c r="G230">
        <v>0.18937725025722213</v>
      </c>
      <c r="H230">
        <v>0.76319057331563145</v>
      </c>
      <c r="I230">
        <v>4.7432176427146464E-2</v>
      </c>
      <c r="J230">
        <v>3.001274344849188E-2</v>
      </c>
      <c r="K230">
        <v>4.3647087577094491E-2</v>
      </c>
      <c r="L230">
        <v>0.8929624524847033</v>
      </c>
      <c r="M230">
        <v>3.3377716489710378E-2</v>
      </c>
      <c r="N230" s="4">
        <v>0</v>
      </c>
      <c r="O230">
        <v>0.43006070554877496</v>
      </c>
      <c r="P230">
        <v>0.11458099314064607</v>
      </c>
      <c r="Q230">
        <v>7.4782030304806874E-2</v>
      </c>
      <c r="R230" s="4">
        <v>1.7454289627825418E-2</v>
      </c>
      <c r="S230">
        <v>0.3445704083101046</v>
      </c>
      <c r="T230">
        <v>1.8551573067842046E-2</v>
      </c>
      <c r="U230" s="4">
        <v>0.18571172597225771</v>
      </c>
      <c r="V230">
        <v>2.8367081657872353E-2</v>
      </c>
      <c r="W230">
        <v>0.20515836529310044</v>
      </c>
      <c r="X230">
        <v>6.1040695112417012E-2</v>
      </c>
      <c r="Y230">
        <v>0.51972213196435235</v>
      </c>
      <c r="Z230">
        <v>0.39082612967965707</v>
      </c>
      <c r="AA230">
        <v>1.7687438434504578E-2</v>
      </c>
      <c r="AB230">
        <v>3.1028103761602695E-2</v>
      </c>
      <c r="AC230">
        <v>0.40405862696035705</v>
      </c>
      <c r="AD230">
        <v>0.15639970116387852</v>
      </c>
    </row>
    <row r="231" spans="1:30" x14ac:dyDescent="0.35">
      <c r="A231" s="33">
        <f t="shared" si="176"/>
        <v>2035</v>
      </c>
      <c r="B231" s="4">
        <v>1.7054984249493865E-2</v>
      </c>
      <c r="C231" s="4">
        <v>9.7543505748386578E-3</v>
      </c>
      <c r="D231" s="4">
        <v>0.95730713852405691</v>
      </c>
      <c r="E231" s="4">
        <v>6.8211751120076589E-3</v>
      </c>
      <c r="F231" s="4">
        <v>9.0623515396028396E-3</v>
      </c>
      <c r="G231">
        <v>0.18937725025722213</v>
      </c>
      <c r="H231">
        <v>0.76319057331563145</v>
      </c>
      <c r="I231">
        <v>4.7432176427146464E-2</v>
      </c>
      <c r="J231">
        <v>3.001274344849188E-2</v>
      </c>
      <c r="K231">
        <v>4.3647087577094491E-2</v>
      </c>
      <c r="L231">
        <v>0.8929624524847033</v>
      </c>
      <c r="M231">
        <v>3.3377716489710378E-2</v>
      </c>
      <c r="N231" s="4">
        <v>0</v>
      </c>
      <c r="O231">
        <v>0.43006070554877496</v>
      </c>
      <c r="P231">
        <v>0.11458099314064607</v>
      </c>
      <c r="Q231">
        <v>7.4782030304806874E-2</v>
      </c>
      <c r="R231" s="4">
        <v>1.7454289627825418E-2</v>
      </c>
      <c r="S231">
        <v>0.3445704083101046</v>
      </c>
      <c r="T231">
        <v>1.8551573067842046E-2</v>
      </c>
      <c r="U231" s="4">
        <v>0.18571172597225771</v>
      </c>
      <c r="V231">
        <v>2.8367081657872353E-2</v>
      </c>
      <c r="W231">
        <v>0.20515836529310044</v>
      </c>
      <c r="X231">
        <v>6.1040695112417012E-2</v>
      </c>
      <c r="Y231">
        <v>0.51972213196435235</v>
      </c>
      <c r="Z231">
        <v>0.39082612967965707</v>
      </c>
      <c r="AA231">
        <v>1.7687438434504578E-2</v>
      </c>
      <c r="AB231">
        <v>3.1028103761602695E-2</v>
      </c>
      <c r="AC231">
        <v>0.40405862696035705</v>
      </c>
      <c r="AD231">
        <v>0.15639970116387852</v>
      </c>
    </row>
    <row r="232" spans="1:30" x14ac:dyDescent="0.35">
      <c r="A232" s="33">
        <f t="shared" si="176"/>
        <v>2036</v>
      </c>
      <c r="B232" s="4">
        <v>1.7054984249493865E-2</v>
      </c>
      <c r="C232" s="4">
        <v>9.7543505748386578E-3</v>
      </c>
      <c r="D232" s="4">
        <v>0.95730713852405691</v>
      </c>
      <c r="E232" s="4">
        <v>6.8211751120076589E-3</v>
      </c>
      <c r="F232" s="4">
        <v>9.0623515396028396E-3</v>
      </c>
      <c r="G232">
        <v>0.18937725025722213</v>
      </c>
      <c r="H232">
        <v>0.76319057331563145</v>
      </c>
      <c r="I232">
        <v>4.7432176427146464E-2</v>
      </c>
      <c r="J232">
        <v>3.001274344849188E-2</v>
      </c>
      <c r="K232">
        <v>4.3647087577094491E-2</v>
      </c>
      <c r="L232">
        <v>0.8929624524847033</v>
      </c>
      <c r="M232">
        <v>3.3377716489710378E-2</v>
      </c>
      <c r="N232" s="4">
        <v>0</v>
      </c>
      <c r="O232">
        <v>0.43006070554877496</v>
      </c>
      <c r="P232">
        <v>0.11458099314064607</v>
      </c>
      <c r="Q232">
        <v>7.4782030304806874E-2</v>
      </c>
      <c r="R232" s="4">
        <v>1.7454289627825418E-2</v>
      </c>
      <c r="S232">
        <v>0.3445704083101046</v>
      </c>
      <c r="T232">
        <v>1.8551573067842046E-2</v>
      </c>
      <c r="U232" s="4">
        <v>0.18571172597225771</v>
      </c>
      <c r="V232">
        <v>2.8367081657872353E-2</v>
      </c>
      <c r="W232">
        <v>0.20515836529310044</v>
      </c>
      <c r="X232">
        <v>6.1040695112417012E-2</v>
      </c>
      <c r="Y232">
        <v>0.51972213196435235</v>
      </c>
      <c r="Z232">
        <v>0.39082612967965707</v>
      </c>
      <c r="AA232">
        <v>1.7687438434504578E-2</v>
      </c>
      <c r="AB232">
        <v>3.1028103761602695E-2</v>
      </c>
      <c r="AC232">
        <v>0.40405862696035705</v>
      </c>
      <c r="AD232">
        <v>0.15639970116387852</v>
      </c>
    </row>
    <row r="233" spans="1:30" x14ac:dyDescent="0.35">
      <c r="A233" s="33">
        <f t="shared" si="176"/>
        <v>2037</v>
      </c>
      <c r="B233" s="4">
        <v>1.7054984249493865E-2</v>
      </c>
      <c r="C233" s="4">
        <v>9.7543505748386578E-3</v>
      </c>
      <c r="D233" s="4">
        <v>0.95730713852405691</v>
      </c>
      <c r="E233" s="4">
        <v>6.8211751120076589E-3</v>
      </c>
      <c r="F233" s="4">
        <v>9.0623515396028396E-3</v>
      </c>
      <c r="G233">
        <v>0.18937725025722213</v>
      </c>
      <c r="H233">
        <v>0.76319057331563145</v>
      </c>
      <c r="I233">
        <v>4.7432176427146464E-2</v>
      </c>
      <c r="J233">
        <v>3.001274344849188E-2</v>
      </c>
      <c r="K233">
        <v>4.3647087577094491E-2</v>
      </c>
      <c r="L233">
        <v>0.8929624524847033</v>
      </c>
      <c r="M233">
        <v>3.3377716489710378E-2</v>
      </c>
      <c r="N233" s="4">
        <v>0</v>
      </c>
      <c r="O233">
        <v>0.43006070554877496</v>
      </c>
      <c r="P233">
        <v>0.11458099314064607</v>
      </c>
      <c r="Q233">
        <v>7.4782030304806874E-2</v>
      </c>
      <c r="R233" s="4">
        <v>1.7454289627825418E-2</v>
      </c>
      <c r="S233">
        <v>0.3445704083101046</v>
      </c>
      <c r="T233">
        <v>1.8551573067842046E-2</v>
      </c>
      <c r="U233" s="4">
        <v>0.18571172597225771</v>
      </c>
      <c r="V233">
        <v>2.8367081657872353E-2</v>
      </c>
      <c r="W233">
        <v>0.20515836529310044</v>
      </c>
      <c r="X233">
        <v>6.1040695112417012E-2</v>
      </c>
      <c r="Y233">
        <v>0.51972213196435235</v>
      </c>
      <c r="Z233">
        <v>0.39082612967965707</v>
      </c>
      <c r="AA233">
        <v>1.7687438434504578E-2</v>
      </c>
      <c r="AB233">
        <v>3.1028103761602695E-2</v>
      </c>
      <c r="AC233">
        <v>0.40405862696035705</v>
      </c>
      <c r="AD233">
        <v>0.15639970116387852</v>
      </c>
    </row>
    <row r="234" spans="1:30" x14ac:dyDescent="0.35">
      <c r="A234" s="33">
        <f t="shared" si="176"/>
        <v>2038</v>
      </c>
      <c r="B234" s="4">
        <v>1.7054984249493865E-2</v>
      </c>
      <c r="C234" s="4">
        <v>9.7543505748386578E-3</v>
      </c>
      <c r="D234" s="4">
        <v>0.95730713852405691</v>
      </c>
      <c r="E234" s="4">
        <v>6.8211751120076589E-3</v>
      </c>
      <c r="F234" s="4">
        <v>9.0623515396028396E-3</v>
      </c>
      <c r="G234">
        <v>0.18937725025722213</v>
      </c>
      <c r="H234">
        <v>0.76319057331563145</v>
      </c>
      <c r="I234">
        <v>4.7432176427146464E-2</v>
      </c>
      <c r="J234">
        <v>3.001274344849188E-2</v>
      </c>
      <c r="K234">
        <v>4.3647087577094491E-2</v>
      </c>
      <c r="L234">
        <v>0.8929624524847033</v>
      </c>
      <c r="M234">
        <v>3.3377716489710378E-2</v>
      </c>
      <c r="N234" s="4">
        <v>0</v>
      </c>
      <c r="O234">
        <v>0.43006070554877496</v>
      </c>
      <c r="P234">
        <v>0.11458099314064607</v>
      </c>
      <c r="Q234">
        <v>7.4782030304806874E-2</v>
      </c>
      <c r="R234" s="4">
        <v>1.7454289627825418E-2</v>
      </c>
      <c r="S234">
        <v>0.3445704083101046</v>
      </c>
      <c r="T234">
        <v>1.8551573067842046E-2</v>
      </c>
      <c r="U234" s="4">
        <v>0.18571172597225771</v>
      </c>
      <c r="V234">
        <v>2.8367081657872353E-2</v>
      </c>
      <c r="W234">
        <v>0.20515836529310044</v>
      </c>
      <c r="X234">
        <v>6.1040695112417012E-2</v>
      </c>
      <c r="Y234">
        <v>0.51972213196435235</v>
      </c>
      <c r="Z234">
        <v>0.39082612967965707</v>
      </c>
      <c r="AA234">
        <v>1.7687438434504578E-2</v>
      </c>
      <c r="AB234">
        <v>3.1028103761602695E-2</v>
      </c>
      <c r="AC234">
        <v>0.40405862696035705</v>
      </c>
      <c r="AD234">
        <v>0.15639970116387852</v>
      </c>
    </row>
    <row r="235" spans="1:30" x14ac:dyDescent="0.35">
      <c r="A235" s="33">
        <f t="shared" si="176"/>
        <v>2039</v>
      </c>
      <c r="B235" s="4">
        <v>1.7054984249493865E-2</v>
      </c>
      <c r="C235" s="4">
        <v>9.7543505748386578E-3</v>
      </c>
      <c r="D235" s="4">
        <v>0.95730713852405691</v>
      </c>
      <c r="E235" s="4">
        <v>6.8211751120076589E-3</v>
      </c>
      <c r="F235" s="4">
        <v>9.0623515396028396E-3</v>
      </c>
      <c r="G235">
        <v>0.18937725025722213</v>
      </c>
      <c r="H235">
        <v>0.76319057331563145</v>
      </c>
      <c r="I235">
        <v>4.7432176427146464E-2</v>
      </c>
      <c r="J235">
        <v>3.001274344849188E-2</v>
      </c>
      <c r="K235">
        <v>4.3647087577094491E-2</v>
      </c>
      <c r="L235">
        <v>0.8929624524847033</v>
      </c>
      <c r="M235">
        <v>3.3377716489710378E-2</v>
      </c>
      <c r="N235" s="4">
        <v>0</v>
      </c>
      <c r="O235">
        <v>0.43006070554877496</v>
      </c>
      <c r="P235">
        <v>0.11458099314064607</v>
      </c>
      <c r="Q235">
        <v>7.4782030304806874E-2</v>
      </c>
      <c r="R235" s="4">
        <v>1.7454289627825418E-2</v>
      </c>
      <c r="S235">
        <v>0.3445704083101046</v>
      </c>
      <c r="T235">
        <v>1.8551573067842046E-2</v>
      </c>
      <c r="U235" s="4">
        <v>0.18571172597225771</v>
      </c>
      <c r="V235">
        <v>2.8367081657872353E-2</v>
      </c>
      <c r="W235">
        <v>0.20515836529310044</v>
      </c>
      <c r="X235">
        <v>6.1040695112417012E-2</v>
      </c>
      <c r="Y235">
        <v>0.51972213196435235</v>
      </c>
      <c r="Z235">
        <v>0.39082612967965707</v>
      </c>
      <c r="AA235">
        <v>1.7687438434504578E-2</v>
      </c>
      <c r="AB235">
        <v>3.1028103761602695E-2</v>
      </c>
      <c r="AC235">
        <v>0.40405862696035705</v>
      </c>
      <c r="AD235">
        <v>0.15639970116387852</v>
      </c>
    </row>
    <row r="236" spans="1:30" x14ac:dyDescent="0.35">
      <c r="A236" s="33">
        <f t="shared" si="176"/>
        <v>2040</v>
      </c>
      <c r="B236" s="4">
        <v>1.7054984249493865E-2</v>
      </c>
      <c r="C236" s="4">
        <v>9.7543505748386578E-3</v>
      </c>
      <c r="D236" s="4">
        <v>0.95730713852405691</v>
      </c>
      <c r="E236" s="4">
        <v>6.8211751120076589E-3</v>
      </c>
      <c r="F236" s="4">
        <v>9.0623515396028396E-3</v>
      </c>
      <c r="G236">
        <v>0.18937725025722213</v>
      </c>
      <c r="H236">
        <v>0.76319057331563145</v>
      </c>
      <c r="I236">
        <v>4.7432176427146464E-2</v>
      </c>
      <c r="J236">
        <v>3.001274344849188E-2</v>
      </c>
      <c r="K236">
        <v>4.3647087577094491E-2</v>
      </c>
      <c r="L236">
        <v>0.8929624524847033</v>
      </c>
      <c r="M236">
        <v>3.3377716489710378E-2</v>
      </c>
      <c r="N236" s="4">
        <v>0</v>
      </c>
      <c r="O236">
        <v>0.43006070554877496</v>
      </c>
      <c r="P236">
        <v>0.11458099314064607</v>
      </c>
      <c r="Q236">
        <v>7.4782030304806874E-2</v>
      </c>
      <c r="R236" s="4">
        <v>1.7454289627825418E-2</v>
      </c>
      <c r="S236">
        <v>0.3445704083101046</v>
      </c>
      <c r="T236">
        <v>1.8551573067842046E-2</v>
      </c>
      <c r="U236" s="4">
        <v>0.18571172597225771</v>
      </c>
      <c r="V236">
        <v>2.8367081657872353E-2</v>
      </c>
      <c r="W236">
        <v>0.20515836529310044</v>
      </c>
      <c r="X236">
        <v>6.1040695112417012E-2</v>
      </c>
      <c r="Y236">
        <v>0.51972213196435235</v>
      </c>
      <c r="Z236">
        <v>0.39082612967965707</v>
      </c>
      <c r="AA236">
        <v>1.7687438434504578E-2</v>
      </c>
      <c r="AB236">
        <v>3.1028103761602695E-2</v>
      </c>
      <c r="AC236">
        <v>0.40405862696035705</v>
      </c>
      <c r="AD236">
        <v>0.15639970116387852</v>
      </c>
    </row>
    <row r="237" spans="1:30" x14ac:dyDescent="0.35">
      <c r="A237" s="33">
        <f t="shared" si="176"/>
        <v>2041</v>
      </c>
      <c r="B237" s="4">
        <v>1.7054984249493865E-2</v>
      </c>
      <c r="C237" s="4">
        <v>9.7543505748386578E-3</v>
      </c>
      <c r="D237" s="4">
        <v>0.95730713852405691</v>
      </c>
      <c r="E237" s="4">
        <v>6.8211751120076589E-3</v>
      </c>
      <c r="F237" s="4">
        <v>9.0623515396028396E-3</v>
      </c>
      <c r="G237">
        <v>0.18937725025722199</v>
      </c>
      <c r="H237">
        <v>0.763190573315631</v>
      </c>
      <c r="I237">
        <v>4.7432176427146498E-2</v>
      </c>
      <c r="J237">
        <v>3.0012743448491901E-2</v>
      </c>
      <c r="K237">
        <v>4.3647087577094498E-2</v>
      </c>
      <c r="L237">
        <v>0.89296245248470296</v>
      </c>
      <c r="M237">
        <v>3.3377716489710399E-2</v>
      </c>
      <c r="N237" s="4">
        <v>0</v>
      </c>
      <c r="O237">
        <v>0.43006070554877501</v>
      </c>
      <c r="P237">
        <v>0.114580993140646</v>
      </c>
      <c r="Q237">
        <v>7.4782030304806901E-2</v>
      </c>
      <c r="R237" s="4">
        <v>1.7454289627825401E-2</v>
      </c>
      <c r="S237">
        <v>0.34457040831010499</v>
      </c>
      <c r="T237">
        <v>1.8551573067842001E-2</v>
      </c>
      <c r="U237" s="4">
        <v>0.18571172597225799</v>
      </c>
      <c r="V237">
        <v>2.8367081657872401E-2</v>
      </c>
      <c r="W237">
        <v>0.2051583652931</v>
      </c>
      <c r="X237">
        <v>6.1040695112416998E-2</v>
      </c>
      <c r="Y237">
        <v>0.51972213196435202</v>
      </c>
      <c r="Z237">
        <v>0.39082612967965702</v>
      </c>
      <c r="AA237">
        <v>1.7687438434504599E-2</v>
      </c>
      <c r="AB237">
        <v>3.1028103761602699E-2</v>
      </c>
      <c r="AC237">
        <v>0.40405862696035699</v>
      </c>
      <c r="AD237">
        <v>0.156399701163879</v>
      </c>
    </row>
    <row r="238" spans="1:30" x14ac:dyDescent="0.35">
      <c r="A238" s="33">
        <f t="shared" si="176"/>
        <v>2042</v>
      </c>
      <c r="B238" s="4">
        <v>1.7054984249493865E-2</v>
      </c>
      <c r="C238" s="4">
        <v>9.7543505748386578E-3</v>
      </c>
      <c r="D238" s="4">
        <v>0.95730713852405691</v>
      </c>
      <c r="E238" s="4">
        <v>6.8211751120076589E-3</v>
      </c>
      <c r="F238" s="4">
        <v>9.0623515396028396E-3</v>
      </c>
      <c r="G238">
        <v>0.18937725025722199</v>
      </c>
      <c r="H238">
        <v>0.763190573315631</v>
      </c>
      <c r="I238">
        <v>4.7432176427146498E-2</v>
      </c>
      <c r="J238">
        <v>3.0012743448491901E-2</v>
      </c>
      <c r="K238">
        <v>4.3647087577094498E-2</v>
      </c>
      <c r="L238">
        <v>0.89296245248470296</v>
      </c>
      <c r="M238">
        <v>3.3377716489710399E-2</v>
      </c>
      <c r="N238" s="4">
        <v>0</v>
      </c>
      <c r="O238">
        <v>0.43006070554877501</v>
      </c>
      <c r="P238">
        <v>0.114580993140646</v>
      </c>
      <c r="Q238">
        <v>7.4782030304806901E-2</v>
      </c>
      <c r="R238" s="4">
        <v>1.7454289627825401E-2</v>
      </c>
      <c r="S238">
        <v>0.34457040831010499</v>
      </c>
      <c r="T238">
        <v>1.8551573067842001E-2</v>
      </c>
      <c r="U238" s="4">
        <v>0.18571172597225799</v>
      </c>
      <c r="V238">
        <v>2.8367081657872401E-2</v>
      </c>
      <c r="W238">
        <v>0.2051583652931</v>
      </c>
      <c r="X238">
        <v>6.1040695112416998E-2</v>
      </c>
      <c r="Y238">
        <v>0.51972213196435202</v>
      </c>
      <c r="Z238">
        <v>0.39082612967965702</v>
      </c>
      <c r="AA238">
        <v>1.7687438434504599E-2</v>
      </c>
      <c r="AB238">
        <v>3.1028103761602699E-2</v>
      </c>
      <c r="AC238">
        <v>0.40405862696035699</v>
      </c>
      <c r="AD238">
        <v>0.156399701163879</v>
      </c>
    </row>
    <row r="239" spans="1:30" x14ac:dyDescent="0.35">
      <c r="A239" s="33">
        <f t="shared" si="176"/>
        <v>2043</v>
      </c>
      <c r="B239" s="4">
        <v>1.7054984249493865E-2</v>
      </c>
      <c r="C239" s="4">
        <v>9.7543505748386578E-3</v>
      </c>
      <c r="D239" s="4">
        <v>0.95730713852405691</v>
      </c>
      <c r="E239" s="4">
        <v>6.8211751120076589E-3</v>
      </c>
      <c r="F239" s="4">
        <v>9.0623515396028396E-3</v>
      </c>
      <c r="G239">
        <v>0.18937725025722199</v>
      </c>
      <c r="H239">
        <v>0.763190573315631</v>
      </c>
      <c r="I239">
        <v>4.7432176427146498E-2</v>
      </c>
      <c r="J239">
        <v>3.0012743448491901E-2</v>
      </c>
      <c r="K239">
        <v>4.3647087577094498E-2</v>
      </c>
      <c r="L239">
        <v>0.89296245248470296</v>
      </c>
      <c r="M239">
        <v>3.3377716489710399E-2</v>
      </c>
      <c r="N239" s="4">
        <v>0</v>
      </c>
      <c r="O239">
        <v>0.43006070554877501</v>
      </c>
      <c r="P239">
        <v>0.114580993140646</v>
      </c>
      <c r="Q239">
        <v>7.4782030304806901E-2</v>
      </c>
      <c r="R239" s="4">
        <v>1.7454289627825401E-2</v>
      </c>
      <c r="S239">
        <v>0.34457040831010499</v>
      </c>
      <c r="T239">
        <v>1.8551573067842001E-2</v>
      </c>
      <c r="U239" s="4">
        <v>0.18571172597225799</v>
      </c>
      <c r="V239">
        <v>2.8367081657872401E-2</v>
      </c>
      <c r="W239">
        <v>0.2051583652931</v>
      </c>
      <c r="X239">
        <v>6.1040695112416998E-2</v>
      </c>
      <c r="Y239">
        <v>0.51972213196435202</v>
      </c>
      <c r="Z239">
        <v>0.39082612967965702</v>
      </c>
      <c r="AA239">
        <v>1.7687438434504599E-2</v>
      </c>
      <c r="AB239">
        <v>3.1028103761602699E-2</v>
      </c>
      <c r="AC239">
        <v>0.40405862696035699</v>
      </c>
      <c r="AD239">
        <v>0.156399701163879</v>
      </c>
    </row>
    <row r="240" spans="1:30" x14ac:dyDescent="0.35">
      <c r="A240" s="33">
        <f t="shared" si="176"/>
        <v>2044</v>
      </c>
      <c r="B240" s="4">
        <v>1.7054984249493865E-2</v>
      </c>
      <c r="C240" s="4">
        <v>9.7543505748386578E-3</v>
      </c>
      <c r="D240" s="4">
        <v>0.95730713852405691</v>
      </c>
      <c r="E240" s="4">
        <v>6.8211751120076589E-3</v>
      </c>
      <c r="F240" s="4">
        <v>9.0623515396028396E-3</v>
      </c>
      <c r="G240">
        <v>0.18937725025722199</v>
      </c>
      <c r="H240">
        <v>0.763190573315631</v>
      </c>
      <c r="I240">
        <v>4.7432176427146498E-2</v>
      </c>
      <c r="J240">
        <v>3.0012743448491901E-2</v>
      </c>
      <c r="K240">
        <v>4.3647087577094498E-2</v>
      </c>
      <c r="L240">
        <v>0.89296245248470296</v>
      </c>
      <c r="M240">
        <v>3.3377716489710399E-2</v>
      </c>
      <c r="N240" s="4">
        <v>0</v>
      </c>
      <c r="O240">
        <v>0.43006070554877501</v>
      </c>
      <c r="P240">
        <v>0.114580993140646</v>
      </c>
      <c r="Q240">
        <v>7.4782030304806901E-2</v>
      </c>
      <c r="R240" s="4">
        <v>1.7454289627825401E-2</v>
      </c>
      <c r="S240">
        <v>0.34457040831010499</v>
      </c>
      <c r="T240">
        <v>1.8551573067842001E-2</v>
      </c>
      <c r="U240" s="4">
        <v>0.18571172597225799</v>
      </c>
      <c r="V240">
        <v>2.8367081657872401E-2</v>
      </c>
      <c r="W240">
        <v>0.2051583652931</v>
      </c>
      <c r="X240">
        <v>6.1040695112416998E-2</v>
      </c>
      <c r="Y240">
        <v>0.51972213196435202</v>
      </c>
      <c r="Z240">
        <v>0.39082612967965702</v>
      </c>
      <c r="AA240">
        <v>1.7687438434504599E-2</v>
      </c>
      <c r="AB240">
        <v>3.1028103761602699E-2</v>
      </c>
      <c r="AC240">
        <v>0.40405862696035699</v>
      </c>
      <c r="AD240">
        <v>0.156399701163879</v>
      </c>
    </row>
    <row r="241" spans="1:30" x14ac:dyDescent="0.35">
      <c r="A241" s="33">
        <f t="shared" si="176"/>
        <v>2045</v>
      </c>
      <c r="B241" s="4">
        <v>1.7054984249493865E-2</v>
      </c>
      <c r="C241" s="4">
        <v>9.7543505748386578E-3</v>
      </c>
      <c r="D241" s="4">
        <v>0.95730713852405691</v>
      </c>
      <c r="E241" s="4">
        <v>6.8211751120076589E-3</v>
      </c>
      <c r="F241" s="4">
        <v>9.0623515396028396E-3</v>
      </c>
      <c r="G241">
        <v>0.18937725025722199</v>
      </c>
      <c r="H241">
        <v>0.763190573315631</v>
      </c>
      <c r="I241">
        <v>4.7432176427146498E-2</v>
      </c>
      <c r="J241">
        <v>3.0012743448491901E-2</v>
      </c>
      <c r="K241">
        <v>4.3647087577094498E-2</v>
      </c>
      <c r="L241">
        <v>0.89296245248470296</v>
      </c>
      <c r="M241">
        <v>3.3377716489710399E-2</v>
      </c>
      <c r="N241" s="4">
        <v>0</v>
      </c>
      <c r="O241">
        <v>0.43006070554877501</v>
      </c>
      <c r="P241">
        <v>0.114580993140646</v>
      </c>
      <c r="Q241">
        <v>7.4782030304806901E-2</v>
      </c>
      <c r="R241" s="4">
        <v>1.7454289627825401E-2</v>
      </c>
      <c r="S241">
        <v>0.34457040831010499</v>
      </c>
      <c r="T241">
        <v>1.8551573067842001E-2</v>
      </c>
      <c r="U241" s="4">
        <v>0.18571172597225799</v>
      </c>
      <c r="V241">
        <v>2.8367081657872401E-2</v>
      </c>
      <c r="W241">
        <v>0.2051583652931</v>
      </c>
      <c r="X241">
        <v>6.1040695112416998E-2</v>
      </c>
      <c r="Y241">
        <v>0.51972213196435202</v>
      </c>
      <c r="Z241">
        <v>0.39082612967965702</v>
      </c>
      <c r="AA241">
        <v>1.7687438434504599E-2</v>
      </c>
      <c r="AB241">
        <v>3.1028103761602699E-2</v>
      </c>
      <c r="AC241">
        <v>0.40405862696035699</v>
      </c>
      <c r="AD241">
        <v>0.156399701163879</v>
      </c>
    </row>
    <row r="242" spans="1:30" x14ac:dyDescent="0.35">
      <c r="A242" s="33">
        <f t="shared" si="176"/>
        <v>2046</v>
      </c>
      <c r="B242" s="4">
        <v>1.7054984249493865E-2</v>
      </c>
      <c r="C242" s="4">
        <v>9.7543505748386578E-3</v>
      </c>
      <c r="D242" s="4">
        <v>0.95730713852405691</v>
      </c>
      <c r="E242" s="4">
        <v>6.8211751120076589E-3</v>
      </c>
      <c r="F242" s="4">
        <v>9.0623515396028396E-3</v>
      </c>
      <c r="G242">
        <v>0.18937725025722199</v>
      </c>
      <c r="H242">
        <v>0.763190573315631</v>
      </c>
      <c r="I242">
        <v>4.7432176427146498E-2</v>
      </c>
      <c r="J242">
        <v>3.0012743448491901E-2</v>
      </c>
      <c r="K242">
        <v>4.3647087577094498E-2</v>
      </c>
      <c r="L242">
        <v>0.89296245248470296</v>
      </c>
      <c r="M242">
        <v>3.3377716489710399E-2</v>
      </c>
      <c r="N242" s="4">
        <v>0</v>
      </c>
      <c r="O242">
        <v>0.43006070554877501</v>
      </c>
      <c r="P242">
        <v>0.114580993140646</v>
      </c>
      <c r="Q242">
        <v>7.4782030304806901E-2</v>
      </c>
      <c r="R242" s="4">
        <v>1.7454289627825401E-2</v>
      </c>
      <c r="S242">
        <v>0.34457040831010499</v>
      </c>
      <c r="T242">
        <v>1.8551573067842001E-2</v>
      </c>
      <c r="U242" s="4">
        <v>0.18571172597225799</v>
      </c>
      <c r="V242">
        <v>2.8367081657872401E-2</v>
      </c>
      <c r="W242">
        <v>0.2051583652931</v>
      </c>
      <c r="X242">
        <v>6.1040695112416998E-2</v>
      </c>
      <c r="Y242">
        <v>0.51972213196435202</v>
      </c>
      <c r="Z242">
        <v>0.39082612967965702</v>
      </c>
      <c r="AA242">
        <v>1.7687438434504599E-2</v>
      </c>
      <c r="AB242">
        <v>3.1028103761602699E-2</v>
      </c>
      <c r="AC242">
        <v>0.40405862696035699</v>
      </c>
      <c r="AD242">
        <v>0.156399701163879</v>
      </c>
    </row>
    <row r="243" spans="1:30" x14ac:dyDescent="0.35">
      <c r="A243" s="33">
        <f t="shared" si="176"/>
        <v>2047</v>
      </c>
      <c r="B243" s="4">
        <v>1.7054984249493865E-2</v>
      </c>
      <c r="C243" s="4">
        <v>9.7543505748386578E-3</v>
      </c>
      <c r="D243" s="4">
        <v>0.95730713852405691</v>
      </c>
      <c r="E243" s="4">
        <v>6.8211751120076589E-3</v>
      </c>
      <c r="F243" s="4">
        <v>9.0623515396028396E-3</v>
      </c>
      <c r="G243">
        <v>0.18937725025722199</v>
      </c>
      <c r="H243">
        <v>0.763190573315631</v>
      </c>
      <c r="I243">
        <v>4.7432176427146498E-2</v>
      </c>
      <c r="J243">
        <v>3.0012743448491901E-2</v>
      </c>
      <c r="K243">
        <v>4.3647087577094498E-2</v>
      </c>
      <c r="L243">
        <v>0.89296245248470296</v>
      </c>
      <c r="M243">
        <v>3.3377716489710399E-2</v>
      </c>
      <c r="N243" s="4">
        <v>0</v>
      </c>
      <c r="O243">
        <v>0.43006070554877501</v>
      </c>
      <c r="P243">
        <v>0.114580993140646</v>
      </c>
      <c r="Q243">
        <v>7.4782030304806901E-2</v>
      </c>
      <c r="R243" s="4">
        <v>1.7454289627825401E-2</v>
      </c>
      <c r="S243">
        <v>0.34457040831010499</v>
      </c>
      <c r="T243">
        <v>1.8551573067842001E-2</v>
      </c>
      <c r="U243" s="4">
        <v>0.18571172597225799</v>
      </c>
      <c r="V243">
        <v>2.8367081657872401E-2</v>
      </c>
      <c r="W243">
        <v>0.2051583652931</v>
      </c>
      <c r="X243">
        <v>6.1040695112416998E-2</v>
      </c>
      <c r="Y243">
        <v>0.51972213196435202</v>
      </c>
      <c r="Z243">
        <v>0.39082612967965702</v>
      </c>
      <c r="AA243">
        <v>1.7687438434504599E-2</v>
      </c>
      <c r="AB243">
        <v>3.1028103761602699E-2</v>
      </c>
      <c r="AC243">
        <v>0.40405862696035699</v>
      </c>
      <c r="AD243">
        <v>0.156399701163879</v>
      </c>
    </row>
    <row r="244" spans="1:30" x14ac:dyDescent="0.35">
      <c r="A244" s="33">
        <f t="shared" si="176"/>
        <v>2048</v>
      </c>
      <c r="B244" s="4">
        <v>1.7054984249493865E-2</v>
      </c>
      <c r="C244" s="4">
        <v>9.7543505748386578E-3</v>
      </c>
      <c r="D244" s="4">
        <v>0.95730713852405691</v>
      </c>
      <c r="E244" s="4">
        <v>6.8211751120076589E-3</v>
      </c>
      <c r="F244" s="4">
        <v>9.0623515396028396E-3</v>
      </c>
      <c r="G244">
        <v>0.18937725025722199</v>
      </c>
      <c r="H244">
        <v>0.763190573315631</v>
      </c>
      <c r="I244">
        <v>4.7432176427146498E-2</v>
      </c>
      <c r="J244">
        <v>3.0012743448491901E-2</v>
      </c>
      <c r="K244">
        <v>4.3647087577094498E-2</v>
      </c>
      <c r="L244">
        <v>0.89296245248470296</v>
      </c>
      <c r="M244">
        <v>3.3377716489710399E-2</v>
      </c>
      <c r="N244" s="4">
        <v>0</v>
      </c>
      <c r="O244">
        <v>0.43006070554877501</v>
      </c>
      <c r="P244">
        <v>0.114580993140646</v>
      </c>
      <c r="Q244">
        <v>7.4782030304806901E-2</v>
      </c>
      <c r="R244" s="4">
        <v>1.7454289627825401E-2</v>
      </c>
      <c r="S244">
        <v>0.34457040831010499</v>
      </c>
      <c r="T244">
        <v>1.8551573067842001E-2</v>
      </c>
      <c r="U244" s="4">
        <v>0.18571172597225799</v>
      </c>
      <c r="V244">
        <v>2.8367081657872401E-2</v>
      </c>
      <c r="W244">
        <v>0.2051583652931</v>
      </c>
      <c r="X244">
        <v>6.1040695112416998E-2</v>
      </c>
      <c r="Y244">
        <v>0.51972213196435202</v>
      </c>
      <c r="Z244">
        <v>0.39082612967965702</v>
      </c>
      <c r="AA244">
        <v>1.7687438434504599E-2</v>
      </c>
      <c r="AB244">
        <v>3.1028103761602699E-2</v>
      </c>
      <c r="AC244">
        <v>0.40405862696035699</v>
      </c>
      <c r="AD244">
        <v>0.156399701163879</v>
      </c>
    </row>
    <row r="245" spans="1:30" x14ac:dyDescent="0.35">
      <c r="A245" s="123">
        <f t="shared" si="176"/>
        <v>2049</v>
      </c>
      <c r="B245" s="4">
        <v>1.7054984249493865E-2</v>
      </c>
      <c r="C245" s="4">
        <v>9.7543505748386578E-3</v>
      </c>
      <c r="D245" s="4">
        <v>0.95730713852405691</v>
      </c>
      <c r="E245" s="4">
        <v>6.8211751120076589E-3</v>
      </c>
      <c r="F245" s="4">
        <v>9.0623515396028396E-3</v>
      </c>
      <c r="G245">
        <v>0.18937725025722199</v>
      </c>
      <c r="H245">
        <v>0.763190573315631</v>
      </c>
      <c r="I245">
        <v>4.7432176427146498E-2</v>
      </c>
      <c r="J245">
        <v>3.0012743448491901E-2</v>
      </c>
      <c r="K245">
        <v>4.3647087577094498E-2</v>
      </c>
      <c r="L245">
        <v>0.89296245248470296</v>
      </c>
      <c r="M245">
        <v>3.3377716489710399E-2</v>
      </c>
      <c r="N245" s="4">
        <v>0</v>
      </c>
      <c r="O245">
        <v>0.43006070554877501</v>
      </c>
      <c r="P245">
        <v>0.114580993140646</v>
      </c>
      <c r="Q245">
        <v>7.4782030304806901E-2</v>
      </c>
      <c r="R245" s="4">
        <v>1.7454289627825401E-2</v>
      </c>
      <c r="S245">
        <v>0.34457040831010499</v>
      </c>
      <c r="T245">
        <v>1.8551573067842001E-2</v>
      </c>
      <c r="U245" s="4">
        <v>0.18571172597225799</v>
      </c>
      <c r="V245">
        <v>2.8367081657872401E-2</v>
      </c>
      <c r="W245">
        <v>0.2051583652931</v>
      </c>
      <c r="X245">
        <v>6.1040695112416998E-2</v>
      </c>
      <c r="Y245">
        <v>0.51972213196435202</v>
      </c>
      <c r="Z245">
        <v>0.39082612967965702</v>
      </c>
      <c r="AA245">
        <v>1.7687438434504599E-2</v>
      </c>
      <c r="AB245">
        <v>3.1028103761602699E-2</v>
      </c>
      <c r="AC245">
        <v>0.40405862696035699</v>
      </c>
      <c r="AD245">
        <v>0.156399701163879</v>
      </c>
    </row>
    <row r="246" spans="1:30" x14ac:dyDescent="0.35">
      <c r="A246" s="115">
        <f t="shared" si="176"/>
        <v>2050</v>
      </c>
      <c r="B246" s="4">
        <v>1.7054984249493865E-2</v>
      </c>
      <c r="C246" s="4">
        <v>9.7543505748386578E-3</v>
      </c>
      <c r="D246" s="4">
        <v>0.95730713852405691</v>
      </c>
      <c r="E246" s="4">
        <v>6.8211751120076589E-3</v>
      </c>
      <c r="F246" s="4">
        <v>9.0623515396028396E-3</v>
      </c>
      <c r="G246">
        <v>0.18937725025722199</v>
      </c>
      <c r="H246">
        <v>0.763190573315631</v>
      </c>
      <c r="I246">
        <v>4.7432176427146498E-2</v>
      </c>
      <c r="J246">
        <v>3.0012743448491901E-2</v>
      </c>
      <c r="K246">
        <v>4.3647087577094498E-2</v>
      </c>
      <c r="L246">
        <v>0.89296245248470296</v>
      </c>
      <c r="M246">
        <v>3.3377716489710399E-2</v>
      </c>
      <c r="N246" s="4">
        <v>0</v>
      </c>
      <c r="O246">
        <v>0.43006070554877501</v>
      </c>
      <c r="P246">
        <v>0.114580993140646</v>
      </c>
      <c r="Q246">
        <v>7.4782030304806901E-2</v>
      </c>
      <c r="R246" s="4">
        <v>1.7454289627825401E-2</v>
      </c>
      <c r="S246">
        <v>0.34457040831010499</v>
      </c>
      <c r="T246">
        <v>1.8551573067842001E-2</v>
      </c>
      <c r="U246" s="4">
        <v>0.18571172597225799</v>
      </c>
      <c r="V246">
        <v>2.8367081657872401E-2</v>
      </c>
      <c r="W246">
        <v>0.2051583652931</v>
      </c>
      <c r="X246">
        <v>6.1040695112416998E-2</v>
      </c>
      <c r="Y246">
        <v>0.51972213196435202</v>
      </c>
      <c r="Z246">
        <v>0.39082612967965702</v>
      </c>
      <c r="AA246">
        <v>1.7687438434504599E-2</v>
      </c>
      <c r="AB246">
        <v>3.1028103761602699E-2</v>
      </c>
      <c r="AC246">
        <v>0.40405862696035699</v>
      </c>
      <c r="AD246">
        <v>0.156399701163879</v>
      </c>
    </row>
    <row r="247" spans="1:30" x14ac:dyDescent="0.35">
      <c r="A247" s="62"/>
    </row>
  </sheetData>
  <mergeCells count="6">
    <mergeCell ref="B213:F213"/>
    <mergeCell ref="G213:I213"/>
    <mergeCell ref="J213:N213"/>
    <mergeCell ref="O213:T213"/>
    <mergeCell ref="Z213:AD213"/>
    <mergeCell ref="U213:Y213"/>
  </mergeCells>
  <phoneticPr fontId="6" type="noConversion"/>
  <hyperlinks>
    <hyperlink ref="B4" r:id="rId1" display="https://www.rse-web.it/wp-content/uploads/2022/05/20009857.pdf" xr:uid="{35853799-FC88-4438-B33B-92A485AB53E7}"/>
  </hyperlinks>
  <pageMargins left="0.7" right="0.7" top="0.75" bottom="0.75" header="0.3" footer="0.3"/>
  <pageSetup orientation="portrait" r:id="rId2"/>
  <legacyDrawing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58B8-6505-484F-9DFB-722B4ED398FC}">
  <dimension ref="B1:BB111"/>
  <sheetViews>
    <sheetView topLeftCell="B1" zoomScale="85" zoomScaleNormal="85" workbookViewId="0">
      <selection activeCell="H16" sqref="H16"/>
    </sheetView>
  </sheetViews>
  <sheetFormatPr defaultRowHeight="14.5" x14ac:dyDescent="0.35"/>
  <cols>
    <col min="2" max="2" width="41.6328125" bestFit="1" customWidth="1"/>
    <col min="3" max="3" width="15.6328125" bestFit="1" customWidth="1"/>
    <col min="4" max="4" width="14.90625" bestFit="1" customWidth="1"/>
    <col min="5" max="5" width="12.6328125" bestFit="1" customWidth="1"/>
    <col min="6" max="6" width="16.36328125" bestFit="1" customWidth="1"/>
    <col min="7" max="7" width="13.36328125" bestFit="1" customWidth="1"/>
    <col min="8" max="8" width="15.6328125" bestFit="1" customWidth="1"/>
    <col min="9" max="9" width="12.6328125" bestFit="1" customWidth="1"/>
    <col min="10" max="10" width="12.453125" bestFit="1" customWidth="1"/>
    <col min="11" max="11" width="15.6328125" bestFit="1" customWidth="1"/>
    <col min="12" max="12" width="15.08984375" bestFit="1" customWidth="1"/>
    <col min="13" max="13" width="12.6328125" bestFit="1" customWidth="1"/>
    <col min="14" max="15" width="12.453125" bestFit="1" customWidth="1"/>
    <col min="16" max="16" width="15.6328125" bestFit="1" customWidth="1"/>
    <col min="17" max="17" width="12.453125" bestFit="1" customWidth="1"/>
    <col min="18" max="18" width="12.6328125" bestFit="1" customWidth="1"/>
    <col min="19" max="19" width="16.36328125" bestFit="1" customWidth="1"/>
    <col min="20" max="20" width="12.453125" bestFit="1" customWidth="1"/>
    <col min="21" max="21" width="14.90625" bestFit="1" customWidth="1"/>
    <col min="22" max="22" width="15.6328125" bestFit="1" customWidth="1"/>
    <col min="23" max="23" width="12.453125" bestFit="1" customWidth="1"/>
    <col min="24" max="24" width="14.90625" bestFit="1" customWidth="1"/>
    <col min="25" max="25" width="12.6328125" bestFit="1" customWidth="1"/>
    <col min="26" max="26" width="12.453125" bestFit="1" customWidth="1"/>
    <col min="27" max="27" width="15.6328125" bestFit="1" customWidth="1"/>
    <col min="28" max="28" width="12.453125" bestFit="1" customWidth="1"/>
    <col min="29" max="29" width="12.6328125" bestFit="1" customWidth="1"/>
    <col min="30" max="30" width="12.453125" bestFit="1" customWidth="1"/>
    <col min="31" max="31" width="14.90625" bestFit="1" customWidth="1"/>
  </cols>
  <sheetData>
    <row r="1" spans="2:54" x14ac:dyDescent="0.35">
      <c r="C1" s="184" t="s">
        <v>105</v>
      </c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5" t="s">
        <v>106</v>
      </c>
      <c r="O1" s="185"/>
      <c r="P1" s="185"/>
      <c r="Q1" s="185"/>
      <c r="R1" s="185"/>
      <c r="S1" s="185"/>
      <c r="T1" s="185"/>
      <c r="U1" s="185"/>
      <c r="V1" s="185"/>
      <c r="W1" s="185"/>
      <c r="X1" s="186" t="s">
        <v>107</v>
      </c>
      <c r="Y1" s="186"/>
      <c r="Z1" s="186"/>
      <c r="AA1" s="186"/>
      <c r="AB1" s="186"/>
    </row>
    <row r="2" spans="2:54" x14ac:dyDescent="0.35"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6"/>
      <c r="Y2" s="186"/>
      <c r="Z2" s="186"/>
      <c r="AA2" s="186"/>
      <c r="AB2" s="186"/>
    </row>
    <row r="3" spans="2:54" x14ac:dyDescent="0.35">
      <c r="B3" t="s">
        <v>52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37</v>
      </c>
      <c r="O3" t="s">
        <v>54</v>
      </c>
      <c r="P3" t="s">
        <v>55</v>
      </c>
      <c r="Q3" t="s">
        <v>56</v>
      </c>
      <c r="R3" t="s">
        <v>57</v>
      </c>
      <c r="S3" t="s">
        <v>58</v>
      </c>
      <c r="T3" t="s">
        <v>59</v>
      </c>
      <c r="U3" t="s">
        <v>60</v>
      </c>
      <c r="V3" t="s">
        <v>61</v>
      </c>
      <c r="W3" t="s">
        <v>62</v>
      </c>
      <c r="X3" t="s">
        <v>85</v>
      </c>
      <c r="Y3" t="s">
        <v>86</v>
      </c>
      <c r="Z3" t="s">
        <v>87</v>
      </c>
      <c r="AA3" t="s">
        <v>88</v>
      </c>
      <c r="AB3" t="s">
        <v>89</v>
      </c>
      <c r="AC3" t="s">
        <v>38</v>
      </c>
      <c r="AD3" t="s">
        <v>40</v>
      </c>
      <c r="AE3" t="s">
        <v>41</v>
      </c>
      <c r="AF3" t="s">
        <v>42</v>
      </c>
      <c r="AG3" t="s">
        <v>43</v>
      </c>
      <c r="AH3" t="s">
        <v>44</v>
      </c>
      <c r="AI3" t="s">
        <v>45</v>
      </c>
      <c r="AJ3" t="s">
        <v>46</v>
      </c>
      <c r="AK3" t="s">
        <v>47</v>
      </c>
      <c r="AL3" t="s">
        <v>48</v>
      </c>
      <c r="AM3" t="s">
        <v>39</v>
      </c>
      <c r="AN3" s="19" t="s">
        <v>90</v>
      </c>
      <c r="AO3" s="19" t="s">
        <v>91</v>
      </c>
      <c r="AP3" s="19" t="s">
        <v>92</v>
      </c>
      <c r="AQ3" s="19" t="s">
        <v>93</v>
      </c>
      <c r="AR3" s="19" t="s">
        <v>94</v>
      </c>
      <c r="AS3" s="19" t="s">
        <v>95</v>
      </c>
      <c r="AT3" s="19" t="s">
        <v>96</v>
      </c>
      <c r="AU3" s="19" t="s">
        <v>97</v>
      </c>
      <c r="AV3" s="19" t="s">
        <v>98</v>
      </c>
      <c r="AW3" s="19" t="s">
        <v>99</v>
      </c>
      <c r="AX3" s="19" t="s">
        <v>100</v>
      </c>
      <c r="AY3" s="19" t="s">
        <v>101</v>
      </c>
      <c r="AZ3" s="19" t="s">
        <v>102</v>
      </c>
      <c r="BA3" s="19" t="s">
        <v>103</v>
      </c>
      <c r="BB3" s="19" t="s">
        <v>104</v>
      </c>
    </row>
    <row r="4" spans="2:54" x14ac:dyDescent="0.35">
      <c r="B4" s="3" t="s">
        <v>4</v>
      </c>
      <c r="C4" s="3">
        <v>355878</v>
      </c>
      <c r="D4">
        <f>Tabella33[[#This Row],[2020]]+(Tabella33[[#This Row],[2025]]-Tabella33[[#This Row],[2020]])/5</f>
        <v>350156.04</v>
      </c>
      <c r="E4">
        <v>344434.07999999996</v>
      </c>
      <c r="F4">
        <v>338712.11999999994</v>
      </c>
      <c r="G4">
        <v>332990.15999999992</v>
      </c>
      <c r="H4" s="3">
        <v>327268.2</v>
      </c>
      <c r="I4">
        <v>319662.18</v>
      </c>
      <c r="J4">
        <v>312056.15999999997</v>
      </c>
      <c r="K4">
        <v>304450.13999999996</v>
      </c>
      <c r="L4">
        <v>296844.11999999994</v>
      </c>
      <c r="M4" s="3">
        <v>289238.10000000003</v>
      </c>
      <c r="N4">
        <v>281632.08</v>
      </c>
      <c r="O4">
        <v>274026.06</v>
      </c>
      <c r="P4">
        <v>266420.03999999998</v>
      </c>
      <c r="Q4">
        <v>258814.02</v>
      </c>
      <c r="R4">
        <v>251208</v>
      </c>
      <c r="S4">
        <v>243601.98</v>
      </c>
      <c r="T4">
        <v>235995.96000000002</v>
      </c>
      <c r="U4">
        <v>228389.94000000003</v>
      </c>
      <c r="V4">
        <v>220783.92000000004</v>
      </c>
      <c r="W4">
        <v>213177.90000000005</v>
      </c>
      <c r="X4">
        <v>213177.90000000005</v>
      </c>
      <c r="Y4">
        <v>213177.90000000005</v>
      </c>
      <c r="Z4">
        <v>213177.90000000005</v>
      </c>
      <c r="AA4">
        <v>213177.90000000005</v>
      </c>
      <c r="AB4">
        <v>213177.90000000005</v>
      </c>
      <c r="AC4">
        <v>1.0000000000000002</v>
      </c>
      <c r="AD4">
        <v>1.0000000000000002</v>
      </c>
      <c r="AE4">
        <v>1.0000000000000002</v>
      </c>
      <c r="AF4">
        <v>1.0000000000000004</v>
      </c>
      <c r="AG4">
        <v>1.0000000000000004</v>
      </c>
      <c r="AH4">
        <v>1</v>
      </c>
      <c r="AI4">
        <v>1</v>
      </c>
      <c r="AJ4">
        <v>1.0000000000000002</v>
      </c>
      <c r="AK4">
        <v>1.0000000000000002</v>
      </c>
      <c r="AL4">
        <v>1.0000000000000004</v>
      </c>
      <c r="AM4">
        <v>0.99999999999999989</v>
      </c>
      <c r="AN4">
        <v>0.99999999999999989</v>
      </c>
      <c r="AO4">
        <v>0.99999999999999989</v>
      </c>
      <c r="AP4">
        <v>0.99999999999999989</v>
      </c>
      <c r="AQ4">
        <v>0.99999999999999989</v>
      </c>
      <c r="AR4">
        <v>0.99999999999999989</v>
      </c>
      <c r="AS4">
        <v>0.99999999999999989</v>
      </c>
      <c r="AT4">
        <v>0.99999999999999989</v>
      </c>
      <c r="AU4">
        <v>0.99999999999999989</v>
      </c>
      <c r="AV4">
        <v>0.99999999999999989</v>
      </c>
      <c r="AW4">
        <v>0.99999999999999989</v>
      </c>
      <c r="AX4">
        <v>0.99999999999999989</v>
      </c>
      <c r="AY4">
        <v>0.99999999999999989</v>
      </c>
      <c r="AZ4">
        <v>0.99999999999999989</v>
      </c>
      <c r="BA4">
        <v>0.99999999999999989</v>
      </c>
      <c r="BB4">
        <v>0.99999999999999989</v>
      </c>
    </row>
    <row r="5" spans="2:54" x14ac:dyDescent="0.35">
      <c r="B5" t="s">
        <v>13</v>
      </c>
      <c r="C5" s="3">
        <v>72338.600000000035</v>
      </c>
      <c r="D5">
        <v>72664.24000000002</v>
      </c>
      <c r="E5">
        <v>72989.88</v>
      </c>
      <c r="F5">
        <v>73315.51999999999</v>
      </c>
      <c r="G5">
        <v>73641.159999999974</v>
      </c>
      <c r="H5" s="3">
        <v>73966.799999999988</v>
      </c>
      <c r="I5">
        <v>76455.62</v>
      </c>
      <c r="J5">
        <v>78944.44</v>
      </c>
      <c r="K5">
        <v>81433.260000000009</v>
      </c>
      <c r="L5">
        <v>83922.080000000016</v>
      </c>
      <c r="M5" s="3">
        <v>86410.9</v>
      </c>
      <c r="N5">
        <f>N$4*Tabella33[[#This Row],[2031%]]</f>
        <v>84138.574764776829</v>
      </c>
      <c r="O5">
        <f>O$4*Tabella33[[#This Row],[2032%]]</f>
        <v>81866.249529553665</v>
      </c>
      <c r="P5">
        <f>P$4*Tabella33[[#This Row],[2033%]]</f>
        <v>79593.9242943305</v>
      </c>
      <c r="Q5">
        <f>Q$4*Tabella33[[#This Row],[2034%]]</f>
        <v>77321.599059107335</v>
      </c>
      <c r="R5">
        <f>R$4*Tabella33[[#This Row],[2035%]]</f>
        <v>75049.273823884185</v>
      </c>
      <c r="S5">
        <f>S$4*Tabella33[[#This Row],[2036%]]</f>
        <v>72776.94858866102</v>
      </c>
      <c r="T5">
        <f>T$4*Tabella33[[#This Row],[2037%]]</f>
        <v>70504.62335343787</v>
      </c>
      <c r="U5">
        <f>U$4*Tabella33[[#This Row],[2038%]]</f>
        <v>68232.298118214705</v>
      </c>
      <c r="V5">
        <f>V$4*Tabella33[[#This Row],[2039%]]</f>
        <v>65959.972882991555</v>
      </c>
      <c r="W5">
        <f>W$4*Tabella33[[#This Row],[2040%]]</f>
        <v>63687.647647768397</v>
      </c>
      <c r="X5">
        <f>X$4*Tabella33[[#This Row],[2041%]]</f>
        <v>63687.647647768397</v>
      </c>
      <c r="Y5">
        <f>Y$4*Tabella33[[#This Row],[2042%]]</f>
        <v>63687.647647768397</v>
      </c>
      <c r="Z5">
        <f>Z$4*Tabella33[[#This Row],[2043%]]</f>
        <v>63687.647647768397</v>
      </c>
      <c r="AA5">
        <f>AA$4*Tabella33[[#This Row],[2044%]]</f>
        <v>63687.647647768397</v>
      </c>
      <c r="AB5">
        <f>AB$4*Tabella33[[#This Row],[2045%]]</f>
        <v>63687.647647768397</v>
      </c>
      <c r="AC5">
        <v>0.20326797385620926</v>
      </c>
      <c r="AD5">
        <v>0.20751959612063245</v>
      </c>
      <c r="AE5">
        <v>0.21191247974068075</v>
      </c>
      <c r="AF5">
        <v>0.21645378382090374</v>
      </c>
      <c r="AG5">
        <v>0.22115115954177142</v>
      </c>
      <c r="AH5">
        <v>0.22601279317697223</v>
      </c>
      <c r="AI5">
        <v>0.23917630793858691</v>
      </c>
      <c r="AJ5">
        <v>0.25298151460942159</v>
      </c>
      <c r="AK5">
        <v>0.26747650699060288</v>
      </c>
      <c r="AL5">
        <v>0.28271430810217846</v>
      </c>
      <c r="AM5">
        <v>0.29875351829513463</v>
      </c>
      <c r="AN5">
        <v>0.29875351829513463</v>
      </c>
      <c r="AO5">
        <v>0.29875351829513463</v>
      </c>
      <c r="AP5">
        <v>0.29875351829513463</v>
      </c>
      <c r="AQ5">
        <v>0.29875351829513463</v>
      </c>
      <c r="AR5">
        <v>0.29875351829513463</v>
      </c>
      <c r="AS5">
        <v>0.29875351829513463</v>
      </c>
      <c r="AT5">
        <v>0.29875351829513463</v>
      </c>
      <c r="AU5">
        <v>0.29875351829513463</v>
      </c>
      <c r="AV5">
        <v>0.29875351829513463</v>
      </c>
      <c r="AW5">
        <v>0.29875351829513463</v>
      </c>
      <c r="AX5">
        <v>0.29875351829513463</v>
      </c>
      <c r="AY5">
        <v>0.29875351829513463</v>
      </c>
      <c r="AZ5">
        <v>0.29875351829513463</v>
      </c>
      <c r="BA5">
        <v>0.29875351829513463</v>
      </c>
      <c r="BB5">
        <v>0.29875351829513463</v>
      </c>
    </row>
    <row r="6" spans="2:54" x14ac:dyDescent="0.35">
      <c r="B6" t="s">
        <v>12</v>
      </c>
      <c r="C6" s="3">
        <v>13955.999999999991</v>
      </c>
      <c r="D6">
        <v>13816.439999999993</v>
      </c>
      <c r="E6">
        <v>13676.879999999996</v>
      </c>
      <c r="F6">
        <v>13537.319999999998</v>
      </c>
      <c r="G6">
        <v>13397.76</v>
      </c>
      <c r="H6" s="3">
        <v>13258.200000000006</v>
      </c>
      <c r="I6">
        <v>13444.28000000001</v>
      </c>
      <c r="J6">
        <v>13630.360000000013</v>
      </c>
      <c r="K6">
        <v>13816.440000000017</v>
      </c>
      <c r="L6">
        <v>14002.52000000002</v>
      </c>
      <c r="M6" s="3">
        <v>14188.600000000028</v>
      </c>
      <c r="N6">
        <f>N$4*Tabella33[[#This Row],[2031%]]</f>
        <v>13815.486031363112</v>
      </c>
      <c r="O6">
        <f>O$4*Tabella33[[#This Row],[2032%]]</f>
        <v>13442.372062726199</v>
      </c>
      <c r="P6">
        <f>P$4*Tabella33[[#This Row],[2033%]]</f>
        <v>13069.258094089286</v>
      </c>
      <c r="Q6">
        <f>Q$4*Tabella33[[#This Row],[2034%]]</f>
        <v>12696.144125452374</v>
      </c>
      <c r="R6">
        <f>R$4*Tabella33[[#This Row],[2035%]]</f>
        <v>12323.030156815463</v>
      </c>
      <c r="S6">
        <f>S$4*Tabella33[[#This Row],[2036%]]</f>
        <v>11949.916188178549</v>
      </c>
      <c r="T6">
        <f>T$4*Tabella33[[#This Row],[2037%]]</f>
        <v>11576.802219541638</v>
      </c>
      <c r="U6">
        <f>U$4*Tabella33[[#This Row],[2038%]]</f>
        <v>11203.688250904726</v>
      </c>
      <c r="V6">
        <f>V$4*Tabella33[[#This Row],[2039%]]</f>
        <v>10830.574282267813</v>
      </c>
      <c r="W6">
        <f>W$4*Tabella33[[#This Row],[2040%]]</f>
        <v>10457.460313630902</v>
      </c>
      <c r="X6">
        <f>X$4*Tabella33[[#This Row],[2041%]]</f>
        <v>10457.460313630902</v>
      </c>
      <c r="Y6">
        <f>Y$4*Tabella33[[#This Row],[2042%]]</f>
        <v>10457.460313630902</v>
      </c>
      <c r="Z6">
        <f>Z$4*Tabella33[[#This Row],[2043%]]</f>
        <v>10457.460313630902</v>
      </c>
      <c r="AA6">
        <f>AA$4*Tabella33[[#This Row],[2044%]]</f>
        <v>10457.460313630902</v>
      </c>
      <c r="AB6">
        <f>AB$4*Tabella33[[#This Row],[2045%]]</f>
        <v>10457.460313630902</v>
      </c>
      <c r="AC6">
        <v>3.9215686274509776E-2</v>
      </c>
      <c r="AD6">
        <v>3.9457951375049802E-2</v>
      </c>
      <c r="AE6">
        <v>3.9708265802269035E-2</v>
      </c>
      <c r="AF6">
        <v>3.996703749484961E-2</v>
      </c>
      <c r="AG6">
        <v>4.0234702430846613E-2</v>
      </c>
      <c r="AH6">
        <v>4.0511727078891273E-2</v>
      </c>
      <c r="AI6">
        <v>4.2057774867205154E-2</v>
      </c>
      <c r="AJ6">
        <v>4.3679189028026283E-2</v>
      </c>
      <c r="AK6">
        <v>4.5381618152647324E-2</v>
      </c>
      <c r="AL6">
        <v>4.7171289766494359E-2</v>
      </c>
      <c r="AM6">
        <v>4.9055086449537683E-2</v>
      </c>
      <c r="AN6">
        <v>4.9055086449537683E-2</v>
      </c>
      <c r="AO6">
        <v>4.9055086449537683E-2</v>
      </c>
      <c r="AP6">
        <v>4.9055086449537683E-2</v>
      </c>
      <c r="AQ6">
        <v>4.9055086449537683E-2</v>
      </c>
      <c r="AR6">
        <v>4.9055086449537683E-2</v>
      </c>
      <c r="AS6">
        <v>4.9055086449537683E-2</v>
      </c>
      <c r="AT6">
        <v>4.9055086449537683E-2</v>
      </c>
      <c r="AU6">
        <v>4.9055086449537683E-2</v>
      </c>
      <c r="AV6">
        <v>4.9055086449537683E-2</v>
      </c>
      <c r="AW6">
        <v>4.9055086449537683E-2</v>
      </c>
      <c r="AX6">
        <v>4.9055086449537683E-2</v>
      </c>
      <c r="AY6">
        <v>4.9055086449537683E-2</v>
      </c>
      <c r="AZ6">
        <v>4.9055086449537683E-2</v>
      </c>
      <c r="BA6">
        <v>4.9055086449537683E-2</v>
      </c>
      <c r="BB6">
        <v>4.9055086449537683E-2</v>
      </c>
    </row>
    <row r="7" spans="2:54" x14ac:dyDescent="0.35">
      <c r="B7" t="s">
        <v>11</v>
      </c>
      <c r="C7" s="3">
        <v>65825.8</v>
      </c>
      <c r="D7">
        <v>66407.3</v>
      </c>
      <c r="E7">
        <v>66988.800000000003</v>
      </c>
      <c r="F7">
        <v>67570.3</v>
      </c>
      <c r="G7">
        <v>68151.8</v>
      </c>
      <c r="H7" s="3">
        <v>68733.3</v>
      </c>
      <c r="I7">
        <v>68058.759999999995</v>
      </c>
      <c r="J7">
        <v>67384.219999999987</v>
      </c>
      <c r="K7">
        <v>66709.679999999978</v>
      </c>
      <c r="L7">
        <v>66035.13999999997</v>
      </c>
      <c r="M7" s="3">
        <v>65360.599999999991</v>
      </c>
      <c r="N7">
        <f>N$4*Tabella33[[#This Row],[2031%]]</f>
        <v>63641.829095295529</v>
      </c>
      <c r="O7">
        <f>O$4*Tabella33[[#This Row],[2032%]]</f>
        <v>61923.058190591059</v>
      </c>
      <c r="P7">
        <f>P$4*Tabella33[[#This Row],[2033%]]</f>
        <v>60204.287285886589</v>
      </c>
      <c r="Q7">
        <f>Q$4*Tabella33[[#This Row],[2034%]]</f>
        <v>58485.516381182133</v>
      </c>
      <c r="R7">
        <f>R$4*Tabella33[[#This Row],[2035%]]</f>
        <v>56766.74547647767</v>
      </c>
      <c r="S7">
        <f>S$4*Tabella33[[#This Row],[2036%]]</f>
        <v>55047.974571773208</v>
      </c>
      <c r="T7">
        <f>T$4*Tabella33[[#This Row],[2037%]]</f>
        <v>53329.203667068752</v>
      </c>
      <c r="U7">
        <f>U$4*Tabella33[[#This Row],[2038%]]</f>
        <v>51610.432762364289</v>
      </c>
      <c r="V7">
        <f>V$4*Tabella33[[#This Row],[2039%]]</f>
        <v>49891.661857659827</v>
      </c>
      <c r="W7">
        <f>W$4*Tabella33[[#This Row],[2040%]]</f>
        <v>48172.890952955371</v>
      </c>
      <c r="X7">
        <f>X$4*Tabella33[[#This Row],[2041%]]</f>
        <v>48172.890952955371</v>
      </c>
      <c r="Y7">
        <f>Y$4*Tabella33[[#This Row],[2042%]]</f>
        <v>48172.890952955371</v>
      </c>
      <c r="Z7">
        <f>Z$4*Tabella33[[#This Row],[2043%]]</f>
        <v>48172.890952955371</v>
      </c>
      <c r="AA7">
        <f>AA$4*Tabella33[[#This Row],[2044%]]</f>
        <v>48172.890952955371</v>
      </c>
      <c r="AB7">
        <f>AB$4*Tabella33[[#This Row],[2045%]]</f>
        <v>48172.890952955371</v>
      </c>
      <c r="AC7">
        <v>0.18496732026143792</v>
      </c>
      <c r="AD7">
        <v>0.18965059120499536</v>
      </c>
      <c r="AE7">
        <v>0.19448946515397086</v>
      </c>
      <c r="AF7">
        <v>0.19949182804559817</v>
      </c>
      <c r="AG7">
        <v>0.20466610785135519</v>
      </c>
      <c r="AH7">
        <v>0.21002132196162046</v>
      </c>
      <c r="AI7">
        <v>0.21290838972567852</v>
      </c>
      <c r="AJ7">
        <v>0.21593619558735835</v>
      </c>
      <c r="AK7">
        <v>0.21911528764611501</v>
      </c>
      <c r="AL7">
        <v>0.22245729509481268</v>
      </c>
      <c r="AM7">
        <v>0.22597507036590264</v>
      </c>
      <c r="AN7">
        <v>0.22597507036590264</v>
      </c>
      <c r="AO7">
        <v>0.22597507036590264</v>
      </c>
      <c r="AP7">
        <v>0.22597507036590264</v>
      </c>
      <c r="AQ7">
        <v>0.22597507036590264</v>
      </c>
      <c r="AR7">
        <v>0.22597507036590264</v>
      </c>
      <c r="AS7">
        <v>0.22597507036590264</v>
      </c>
      <c r="AT7">
        <v>0.22597507036590264</v>
      </c>
      <c r="AU7">
        <v>0.22597507036590264</v>
      </c>
      <c r="AV7">
        <v>0.22597507036590264</v>
      </c>
      <c r="AW7">
        <v>0.22597507036590264</v>
      </c>
      <c r="AX7">
        <v>0.22597507036590264</v>
      </c>
      <c r="AY7">
        <v>0.22597507036590264</v>
      </c>
      <c r="AZ7">
        <v>0.22597507036590264</v>
      </c>
      <c r="BA7">
        <v>0.22597507036590264</v>
      </c>
      <c r="BB7">
        <v>0.22597507036590264</v>
      </c>
    </row>
    <row r="8" spans="2:54" x14ac:dyDescent="0.35">
      <c r="B8" t="s">
        <v>9</v>
      </c>
      <c r="C8" s="3">
        <v>184800.7</v>
      </c>
      <c r="D8">
        <v>179660.24000000002</v>
      </c>
      <c r="E8">
        <v>174519.78000000003</v>
      </c>
      <c r="F8">
        <v>169379.32000000004</v>
      </c>
      <c r="G8">
        <v>164238.86000000004</v>
      </c>
      <c r="H8" s="3">
        <v>159098.4</v>
      </c>
      <c r="I8">
        <v>151283.04</v>
      </c>
      <c r="J8">
        <v>143467.68000000002</v>
      </c>
      <c r="K8">
        <v>135652.32000000004</v>
      </c>
      <c r="L8">
        <v>127836.96000000004</v>
      </c>
      <c r="M8" s="3">
        <v>120021.6</v>
      </c>
      <c r="N8">
        <f>N$4*Tabella33[[#This Row],[2031%]]</f>
        <v>116865.42282267792</v>
      </c>
      <c r="O8">
        <f>O$4*Tabella33[[#This Row],[2032%]]</f>
        <v>113709.24564535584</v>
      </c>
      <c r="P8">
        <f>P$4*Tabella33[[#This Row],[2033%]]</f>
        <v>110553.06846803376</v>
      </c>
      <c r="Q8">
        <f>Q$4*Tabella33[[#This Row],[2034%]]</f>
        <v>107396.89129071169</v>
      </c>
      <c r="R8">
        <f>R$4*Tabella33[[#This Row],[2035%]]</f>
        <v>104240.71411338962</v>
      </c>
      <c r="S8">
        <f>S$4*Tabella33[[#This Row],[2036%]]</f>
        <v>101084.53693606754</v>
      </c>
      <c r="T8">
        <f>T$4*Tabella33[[#This Row],[2037%]]</f>
        <v>97928.359758745471</v>
      </c>
      <c r="U8">
        <f>U$4*Tabella33[[#This Row],[2038%]]</f>
        <v>94772.182581423403</v>
      </c>
      <c r="V8">
        <f>V$4*Tabella33[[#This Row],[2039%]]</f>
        <v>91616.005404101335</v>
      </c>
      <c r="W8">
        <f>W$4*Tabella33[[#This Row],[2040%]]</f>
        <v>88459.828226779267</v>
      </c>
      <c r="X8">
        <f>X$4*Tabella33[[#This Row],[2041%]]</f>
        <v>88459.828226779267</v>
      </c>
      <c r="Y8">
        <f>Y$4*Tabella33[[#This Row],[2042%]]</f>
        <v>88459.828226779267</v>
      </c>
      <c r="Z8">
        <f>Z$4*Tabella33[[#This Row],[2043%]]</f>
        <v>88459.828226779267</v>
      </c>
      <c r="AA8">
        <f>AA$4*Tabella33[[#This Row],[2044%]]</f>
        <v>88459.828226779267</v>
      </c>
      <c r="AB8">
        <f>AB$4*Tabella33[[#This Row],[2045%]]</f>
        <v>88459.828226779267</v>
      </c>
      <c r="AC8">
        <v>0.51928104575163403</v>
      </c>
      <c r="AD8">
        <v>0.51308622293078265</v>
      </c>
      <c r="AE8">
        <v>0.50668557536466785</v>
      </c>
      <c r="AF8">
        <v>0.50006867188573023</v>
      </c>
      <c r="AG8">
        <v>0.49322436434758338</v>
      </c>
      <c r="AH8">
        <v>0.48614072494669508</v>
      </c>
      <c r="AI8">
        <v>0.47325911373062651</v>
      </c>
      <c r="AJ8">
        <v>0.45974955277280871</v>
      </c>
      <c r="AK8">
        <v>0.44556497822599145</v>
      </c>
      <c r="AL8">
        <v>0.43065350258580182</v>
      </c>
      <c r="AM8">
        <v>0.41495778045838355</v>
      </c>
      <c r="AN8">
        <v>0.41495778045838355</v>
      </c>
      <c r="AO8">
        <v>0.41495778045838355</v>
      </c>
      <c r="AP8">
        <v>0.41495778045838355</v>
      </c>
      <c r="AQ8">
        <v>0.41495778045838355</v>
      </c>
      <c r="AR8">
        <v>0.41495778045838355</v>
      </c>
      <c r="AS8">
        <v>0.41495778045838355</v>
      </c>
      <c r="AT8">
        <v>0.41495778045838355</v>
      </c>
      <c r="AU8">
        <v>0.41495778045838355</v>
      </c>
      <c r="AV8">
        <v>0.41495778045838355</v>
      </c>
      <c r="AW8">
        <v>0.41495778045838355</v>
      </c>
      <c r="AX8">
        <v>0.41495778045838355</v>
      </c>
      <c r="AY8">
        <v>0.41495778045838355</v>
      </c>
      <c r="AZ8">
        <v>0.41495778045838355</v>
      </c>
      <c r="BA8">
        <v>0.41495778045838355</v>
      </c>
      <c r="BB8">
        <v>0.41495778045838355</v>
      </c>
    </row>
    <row r="9" spans="2:54" x14ac:dyDescent="0.35">
      <c r="B9" t="s">
        <v>10</v>
      </c>
      <c r="C9" s="3">
        <v>18956.899999999998</v>
      </c>
      <c r="D9">
        <v>17607.82</v>
      </c>
      <c r="E9">
        <v>16258.74</v>
      </c>
      <c r="F9">
        <v>14909.66</v>
      </c>
      <c r="G9">
        <v>13560.58</v>
      </c>
      <c r="H9" s="3">
        <v>12211.5</v>
      </c>
      <c r="I9">
        <v>10420.48</v>
      </c>
      <c r="J9">
        <v>8629.4599999999991</v>
      </c>
      <c r="K9">
        <v>6838.4399999999987</v>
      </c>
      <c r="L9">
        <v>5047.4199999999983</v>
      </c>
      <c r="M9" s="3">
        <v>3256.4</v>
      </c>
      <c r="N9">
        <f>N$4*Tabella33[[#This Row],[2031%]]</f>
        <v>3170.7672858866104</v>
      </c>
      <c r="O9">
        <f>O$4*Tabella33[[#This Row],[2032%]]</f>
        <v>3085.1345717732206</v>
      </c>
      <c r="P9">
        <f>P$4*Tabella33[[#This Row],[2033%]]</f>
        <v>2999.5018576598309</v>
      </c>
      <c r="Q9">
        <f>Q$4*Tabella33[[#This Row],[2034%]]</f>
        <v>2913.8691435464411</v>
      </c>
      <c r="R9">
        <f>R$4*Tabella33[[#This Row],[2035%]]</f>
        <v>2828.2364294330519</v>
      </c>
      <c r="S9">
        <f>S$4*Tabella33[[#This Row],[2036%]]</f>
        <v>2742.6037153196621</v>
      </c>
      <c r="T9">
        <f>T$4*Tabella33[[#This Row],[2037%]]</f>
        <v>2656.9710012062728</v>
      </c>
      <c r="U9">
        <f>U$4*Tabella33[[#This Row],[2038%]]</f>
        <v>2571.3382870928831</v>
      </c>
      <c r="V9">
        <f>V$4*Tabella33[[#This Row],[2039%]]</f>
        <v>2485.7055729794938</v>
      </c>
      <c r="W9">
        <f>W$4*Tabella33[[#This Row],[2040%]]</f>
        <v>2400.0728588661041</v>
      </c>
      <c r="X9">
        <f>X$4*Tabella33[[#This Row],[2041%]]</f>
        <v>2400.0728588661041</v>
      </c>
      <c r="Y9">
        <f>Y$4*Tabella33[[#This Row],[2042%]]</f>
        <v>2400.0728588661041</v>
      </c>
      <c r="Z9">
        <f>Z$4*Tabella33[[#This Row],[2043%]]</f>
        <v>2400.0728588661041</v>
      </c>
      <c r="AA9">
        <f>AA$4*Tabella33[[#This Row],[2044%]]</f>
        <v>2400.0728588661041</v>
      </c>
      <c r="AB9">
        <f>AB$4*Tabella33[[#This Row],[2045%]]</f>
        <v>2400.0728588661041</v>
      </c>
      <c r="AC9">
        <v>5.3267973856209141E-2</v>
      </c>
      <c r="AD9">
        <v>5.0285638368539928E-2</v>
      </c>
      <c r="AE9">
        <v>4.7204213938411677E-2</v>
      </c>
      <c r="AF9">
        <v>4.4018678752918566E-2</v>
      </c>
      <c r="AG9">
        <v>4.0723665828443709E-2</v>
      </c>
      <c r="AH9">
        <v>3.7313432835820892E-2</v>
      </c>
      <c r="AI9">
        <v>3.2598413737902933E-2</v>
      </c>
      <c r="AJ9">
        <v>2.765354800238521E-2</v>
      </c>
      <c r="AK9">
        <v>2.2461608984643593E-2</v>
      </c>
      <c r="AL9">
        <v>1.7003604450713052E-2</v>
      </c>
      <c r="AM9">
        <v>1.1258544431041415E-2</v>
      </c>
      <c r="AN9">
        <v>1.1258544431041415E-2</v>
      </c>
      <c r="AO9">
        <v>1.1258544431041415E-2</v>
      </c>
      <c r="AP9">
        <v>1.1258544431041415E-2</v>
      </c>
      <c r="AQ9">
        <v>1.1258544431041415E-2</v>
      </c>
      <c r="AR9">
        <v>1.1258544431041415E-2</v>
      </c>
      <c r="AS9">
        <v>1.1258544431041415E-2</v>
      </c>
      <c r="AT9">
        <v>1.1258544431041415E-2</v>
      </c>
      <c r="AU9">
        <v>1.1258544431041415E-2</v>
      </c>
      <c r="AV9">
        <v>1.1258544431041415E-2</v>
      </c>
      <c r="AW9">
        <v>1.1258544431041415E-2</v>
      </c>
      <c r="AX9">
        <v>1.1258544431041415E-2</v>
      </c>
      <c r="AY9">
        <v>1.1258544431041415E-2</v>
      </c>
      <c r="AZ9">
        <v>1.1258544431041415E-2</v>
      </c>
      <c r="BA9">
        <v>1.1258544431041415E-2</v>
      </c>
      <c r="BB9">
        <v>1.1258544431041415E-2</v>
      </c>
    </row>
    <row r="11" spans="2:54" x14ac:dyDescent="0.35">
      <c r="B11" s="3" t="s">
        <v>5</v>
      </c>
      <c r="C11" s="3">
        <v>287493.59999999998</v>
      </c>
      <c r="D11">
        <v>287447.07999999996</v>
      </c>
      <c r="E11">
        <v>287400.55999999994</v>
      </c>
      <c r="F11">
        <v>287354.03999999992</v>
      </c>
      <c r="G11">
        <v>287307.5199999999</v>
      </c>
      <c r="H11" s="3">
        <v>287261</v>
      </c>
      <c r="I11">
        <v>284772.18</v>
      </c>
      <c r="J11">
        <v>282283.36</v>
      </c>
      <c r="K11">
        <v>279794.53999999998</v>
      </c>
      <c r="L11">
        <v>277305.71999999997</v>
      </c>
      <c r="M11" s="3">
        <v>274816.89999999997</v>
      </c>
      <c r="N11">
        <v>272328.07999999996</v>
      </c>
      <c r="O11">
        <v>269839.25999999995</v>
      </c>
      <c r="P11">
        <v>267350.43999999994</v>
      </c>
      <c r="Q11">
        <v>264861.61999999994</v>
      </c>
      <c r="R11">
        <v>262372.79999999993</v>
      </c>
      <c r="S11">
        <v>259883.97999999992</v>
      </c>
      <c r="T11">
        <v>257395.15999999992</v>
      </c>
      <c r="U11">
        <v>254906.33999999991</v>
      </c>
      <c r="V11">
        <v>252417.5199999999</v>
      </c>
      <c r="W11">
        <v>249928.6999999999</v>
      </c>
      <c r="X11">
        <v>249928.6999999999</v>
      </c>
      <c r="Y11">
        <v>249928.6999999999</v>
      </c>
      <c r="Z11">
        <v>249928.6999999999</v>
      </c>
      <c r="AA11">
        <v>249928.6999999999</v>
      </c>
      <c r="AB11">
        <v>249928.6999999999</v>
      </c>
      <c r="AC11">
        <v>1</v>
      </c>
      <c r="AD11">
        <v>1</v>
      </c>
      <c r="AE11">
        <v>1</v>
      </c>
      <c r="AF11">
        <v>1.0000000000000002</v>
      </c>
      <c r="AG11">
        <v>1.0000000000000002</v>
      </c>
      <c r="AH11">
        <v>1.0000000000000002</v>
      </c>
      <c r="AI11">
        <v>1</v>
      </c>
      <c r="AJ11">
        <v>1</v>
      </c>
      <c r="AK11">
        <v>1</v>
      </c>
      <c r="AL11">
        <v>1</v>
      </c>
      <c r="AM11">
        <v>0.99999999999999989</v>
      </c>
      <c r="AN11">
        <v>0.99999999999999989</v>
      </c>
      <c r="AO11">
        <v>0.99999999999999989</v>
      </c>
      <c r="AP11">
        <v>0.99999999999999989</v>
      </c>
      <c r="AQ11">
        <v>0.99999999999999989</v>
      </c>
      <c r="AR11">
        <v>0.99999999999999989</v>
      </c>
      <c r="AS11">
        <v>0.99999999999999989</v>
      </c>
      <c r="AT11">
        <v>0.99999999999999989</v>
      </c>
      <c r="AU11">
        <v>0.99999999999999989</v>
      </c>
      <c r="AV11">
        <v>0.99999999999999989</v>
      </c>
      <c r="AW11">
        <v>0.99999999999999989</v>
      </c>
      <c r="AX11">
        <v>0.99999999999999989</v>
      </c>
      <c r="AY11">
        <v>0.99999999999999989</v>
      </c>
      <c r="AZ11">
        <v>0.99999999999999989</v>
      </c>
      <c r="BA11">
        <v>0.99999999999999989</v>
      </c>
      <c r="BB11">
        <v>0.99999999999999989</v>
      </c>
    </row>
    <row r="12" spans="2:54" x14ac:dyDescent="0.35">
      <c r="B12" t="s">
        <v>13</v>
      </c>
      <c r="C12" s="3">
        <v>6629.1000000000031</v>
      </c>
      <c r="D12">
        <v>7024.5199999999986</v>
      </c>
      <c r="E12">
        <v>7419.9399999999941</v>
      </c>
      <c r="F12">
        <v>7815.3599999999897</v>
      </c>
      <c r="G12">
        <v>8210.7799999999861</v>
      </c>
      <c r="H12" s="3">
        <v>8606.1999999999825</v>
      </c>
      <c r="I12">
        <v>9443.5599999999813</v>
      </c>
      <c r="J12">
        <v>10280.91999999998</v>
      </c>
      <c r="K12">
        <v>11118.279999999979</v>
      </c>
      <c r="L12">
        <v>11955.639999999978</v>
      </c>
      <c r="M12" s="3">
        <v>12792.999999999975</v>
      </c>
      <c r="N12">
        <f>N$11*Tabella33[[#This Row],[2031%]]</f>
        <v>12677.142953872171</v>
      </c>
      <c r="O12">
        <f>O$11*Tabella33[[#This Row],[2032%]]</f>
        <v>12561.285907744366</v>
      </c>
      <c r="P12">
        <f>P$11*Tabella33[[#This Row],[2033%]]</f>
        <v>12445.428861616563</v>
      </c>
      <c r="Q12">
        <f>Q$11*Tabella33[[#This Row],[2034%]]</f>
        <v>12329.57181548876</v>
      </c>
      <c r="R12">
        <f>R$11*Tabella33[[#This Row],[2035%]]</f>
        <v>12213.714769360955</v>
      </c>
      <c r="S12">
        <f>S$11*Tabella33[[#This Row],[2036%]]</f>
        <v>12097.857723233152</v>
      </c>
      <c r="T12">
        <f>T$11*Tabella33[[#This Row],[2037%]]</f>
        <v>11982.000677105349</v>
      </c>
      <c r="U12">
        <f>U$11*Tabella33[[#This Row],[2038%]]</f>
        <v>11866.143630977545</v>
      </c>
      <c r="V12">
        <f>V$11*Tabella33[[#This Row],[2039%]]</f>
        <v>11750.28658484974</v>
      </c>
      <c r="W12">
        <f>W$11*Tabella33[[#This Row],[2040%]]</f>
        <v>11634.429538721937</v>
      </c>
      <c r="X12">
        <f>X$11*Tabella33[[#This Row],[2041%]]</f>
        <v>11634.429538721937</v>
      </c>
      <c r="Y12">
        <f>Y$11*Tabella33[[#This Row],[2042%]]</f>
        <v>11634.429538721937</v>
      </c>
      <c r="Z12">
        <f>Z$11*Tabella33[[#This Row],[2043%]]</f>
        <v>11634.429538721937</v>
      </c>
      <c r="AA12">
        <f>AA$11*Tabella33[[#This Row],[2044%]]</f>
        <v>11634.429538721937</v>
      </c>
      <c r="AB12">
        <f>AB$11*Tabella33[[#This Row],[2045%]]</f>
        <v>11634.429538721937</v>
      </c>
      <c r="AC12">
        <v>2.305825242718448E-2</v>
      </c>
      <c r="AD12">
        <v>2.4437611263958568E-2</v>
      </c>
      <c r="AE12">
        <v>2.5817416639689204E-2</v>
      </c>
      <c r="AF12">
        <v>2.719766877124815E-2</v>
      </c>
      <c r="AG12">
        <v>2.8578367875647631E-2</v>
      </c>
      <c r="AH12">
        <v>2.9959514170040426E-2</v>
      </c>
      <c r="AI12">
        <v>3.316180674671234E-2</v>
      </c>
      <c r="AJ12">
        <v>3.642056690837172E-2</v>
      </c>
      <c r="AK12">
        <v>3.9737301521323397E-2</v>
      </c>
      <c r="AL12">
        <v>4.3113571548397844E-2</v>
      </c>
      <c r="AM12">
        <v>4.6550994498518745E-2</v>
      </c>
      <c r="AN12">
        <v>4.6550994498518745E-2</v>
      </c>
      <c r="AO12">
        <v>4.6550994498518745E-2</v>
      </c>
      <c r="AP12">
        <v>4.6550994498518745E-2</v>
      </c>
      <c r="AQ12">
        <v>4.6550994498518745E-2</v>
      </c>
      <c r="AR12">
        <v>4.6550994498518745E-2</v>
      </c>
      <c r="AS12">
        <v>4.6550994498518745E-2</v>
      </c>
      <c r="AT12">
        <v>4.6550994498518745E-2</v>
      </c>
      <c r="AU12">
        <v>4.6550994498518745E-2</v>
      </c>
      <c r="AV12">
        <v>4.6550994498518745E-2</v>
      </c>
      <c r="AW12">
        <v>4.6550994498518745E-2</v>
      </c>
      <c r="AX12">
        <v>4.6550994498518745E-2</v>
      </c>
      <c r="AY12">
        <v>4.6550994498518745E-2</v>
      </c>
      <c r="AZ12">
        <v>4.6550994498518745E-2</v>
      </c>
      <c r="BA12">
        <v>4.6550994498518745E-2</v>
      </c>
      <c r="BB12">
        <v>4.6550994498518745E-2</v>
      </c>
    </row>
    <row r="13" spans="2:54" x14ac:dyDescent="0.35">
      <c r="B13" t="s">
        <v>12</v>
      </c>
      <c r="C13" s="3">
        <v>34308.499999999993</v>
      </c>
      <c r="D13">
        <v>34541.1</v>
      </c>
      <c r="E13">
        <v>34773.700000000004</v>
      </c>
      <c r="F13">
        <v>35006.30000000001</v>
      </c>
      <c r="G13">
        <v>35238.900000000016</v>
      </c>
      <c r="H13" s="3">
        <v>35471.500000000007</v>
      </c>
      <c r="I13">
        <v>34634.140000000007</v>
      </c>
      <c r="J13">
        <v>33796.780000000006</v>
      </c>
      <c r="K13">
        <v>32959.420000000006</v>
      </c>
      <c r="L13">
        <v>32122.060000000009</v>
      </c>
      <c r="M13" s="3">
        <v>31284.700000000015</v>
      </c>
      <c r="N13">
        <f>N$11*Tabella33[[#This Row],[2031%]]</f>
        <v>31001.376859923839</v>
      </c>
      <c r="O13">
        <f>O$11*Tabella33[[#This Row],[2032%]]</f>
        <v>30718.053719847663</v>
      </c>
      <c r="P13">
        <f>P$11*Tabella33[[#This Row],[2033%]]</f>
        <v>30434.730579771487</v>
      </c>
      <c r="Q13">
        <f>Q$11*Tabella33[[#This Row],[2034%]]</f>
        <v>30151.407439695311</v>
      </c>
      <c r="R13">
        <f>R$11*Tabella33[[#This Row],[2035%]]</f>
        <v>29868.084299619139</v>
      </c>
      <c r="S13">
        <f>S$11*Tabella33[[#This Row],[2036%]]</f>
        <v>29584.761159542963</v>
      </c>
      <c r="T13">
        <f>T$11*Tabella33[[#This Row],[2037%]]</f>
        <v>29301.438019466786</v>
      </c>
      <c r="U13">
        <f>U$11*Tabella33[[#This Row],[2038%]]</f>
        <v>29018.11487939061</v>
      </c>
      <c r="V13">
        <f>V$11*Tabella33[[#This Row],[2039%]]</f>
        <v>28734.791739314434</v>
      </c>
      <c r="W13">
        <f>W$11*Tabella33[[#This Row],[2040%]]</f>
        <v>28451.468599238262</v>
      </c>
      <c r="X13">
        <f>X$11*Tabella33[[#This Row],[2041%]]</f>
        <v>28451.468599238262</v>
      </c>
      <c r="Y13">
        <f>Y$11*Tabella33[[#This Row],[2042%]]</f>
        <v>28451.468599238262</v>
      </c>
      <c r="Z13">
        <f>Z$11*Tabella33[[#This Row],[2043%]]</f>
        <v>28451.468599238262</v>
      </c>
      <c r="AA13">
        <f>AA$11*Tabella33[[#This Row],[2044%]]</f>
        <v>28451.468599238262</v>
      </c>
      <c r="AB13">
        <f>AB$11*Tabella33[[#This Row],[2045%]]</f>
        <v>28451.468599238262</v>
      </c>
      <c r="AC13">
        <v>0.11933656957928801</v>
      </c>
      <c r="AD13">
        <v>0.12016507525489563</v>
      </c>
      <c r="AE13">
        <v>0.12099384914211724</v>
      </c>
      <c r="AF13">
        <v>0.12182289137121587</v>
      </c>
      <c r="AG13">
        <v>0.12265220207253896</v>
      </c>
      <c r="AH13">
        <v>0.12348178137651825</v>
      </c>
      <c r="AI13">
        <v>0.12162051784693297</v>
      </c>
      <c r="AJ13">
        <v>0.11972643375082402</v>
      </c>
      <c r="AK13">
        <v>0.11779865325463466</v>
      </c>
      <c r="AL13">
        <v>0.11583626908236877</v>
      </c>
      <c r="AM13">
        <v>0.11383834109183248</v>
      </c>
      <c r="AN13">
        <v>0.11383834109183248</v>
      </c>
      <c r="AO13">
        <v>0.11383834109183248</v>
      </c>
      <c r="AP13">
        <v>0.11383834109183248</v>
      </c>
      <c r="AQ13">
        <v>0.11383834109183248</v>
      </c>
      <c r="AR13">
        <v>0.11383834109183248</v>
      </c>
      <c r="AS13">
        <v>0.11383834109183248</v>
      </c>
      <c r="AT13">
        <v>0.11383834109183248</v>
      </c>
      <c r="AU13">
        <v>0.11383834109183248</v>
      </c>
      <c r="AV13">
        <v>0.11383834109183248</v>
      </c>
      <c r="AW13">
        <v>0.11383834109183248</v>
      </c>
      <c r="AX13">
        <v>0.11383834109183248</v>
      </c>
      <c r="AY13">
        <v>0.11383834109183248</v>
      </c>
      <c r="AZ13">
        <v>0.11383834109183248</v>
      </c>
      <c r="BA13">
        <v>0.11383834109183248</v>
      </c>
      <c r="BB13">
        <v>0.11383834109183248</v>
      </c>
    </row>
    <row r="14" spans="2:54" x14ac:dyDescent="0.35">
      <c r="B14" t="s">
        <v>11</v>
      </c>
      <c r="C14" s="3">
        <v>111066.49999999999</v>
      </c>
      <c r="D14">
        <v>111113.01999999999</v>
      </c>
      <c r="E14">
        <v>111159.54</v>
      </c>
      <c r="F14">
        <v>111206.06</v>
      </c>
      <c r="G14">
        <v>111252.58</v>
      </c>
      <c r="H14" s="3">
        <v>111299.1</v>
      </c>
      <c r="I14">
        <v>111136.28</v>
      </c>
      <c r="J14">
        <v>110973.45999999999</v>
      </c>
      <c r="K14">
        <v>110810.63999999998</v>
      </c>
      <c r="L14">
        <v>110647.81999999998</v>
      </c>
      <c r="M14" s="3">
        <v>110485</v>
      </c>
      <c r="N14">
        <f>N$11*Tabella33[[#This Row],[2031%]]</f>
        <v>109484.41641980533</v>
      </c>
      <c r="O14">
        <f>O$11*Tabella33[[#This Row],[2032%]]</f>
        <v>108483.83283961067</v>
      </c>
      <c r="P14">
        <f>P$11*Tabella33[[#This Row],[2033%]]</f>
        <v>107483.24925941598</v>
      </c>
      <c r="Q14">
        <f>Q$11*Tabella33[[#This Row],[2034%]]</f>
        <v>106482.66567922132</v>
      </c>
      <c r="R14">
        <f>R$11*Tabella33[[#This Row],[2035%]]</f>
        <v>105482.08209902665</v>
      </c>
      <c r="S14">
        <f>S$11*Tabella33[[#This Row],[2036%]]</f>
        <v>104481.49851883198</v>
      </c>
      <c r="T14">
        <f>T$11*Tabella33[[#This Row],[2037%]]</f>
        <v>103480.9149386373</v>
      </c>
      <c r="U14">
        <f>U$11*Tabella33[[#This Row],[2038%]]</f>
        <v>102480.33135844264</v>
      </c>
      <c r="V14">
        <f>V$11*Tabella33[[#This Row],[2039%]]</f>
        <v>101479.74777824797</v>
      </c>
      <c r="W14">
        <f>W$11*Tabella33[[#This Row],[2040%]]</f>
        <v>100479.1641980533</v>
      </c>
      <c r="X14">
        <f>X$11*Tabella33[[#This Row],[2041%]]</f>
        <v>100479.1641980533</v>
      </c>
      <c r="Y14">
        <f>Y$11*Tabella33[[#This Row],[2042%]]</f>
        <v>100479.1641980533</v>
      </c>
      <c r="Z14">
        <f>Z$11*Tabella33[[#This Row],[2043%]]</f>
        <v>100479.1641980533</v>
      </c>
      <c r="AA14">
        <f>AA$11*Tabella33[[#This Row],[2044%]]</f>
        <v>100479.1641980533</v>
      </c>
      <c r="AB14">
        <f>AB$11*Tabella33[[#This Row],[2045%]]</f>
        <v>100479.1641980533</v>
      </c>
      <c r="AC14">
        <v>0.38632686084142392</v>
      </c>
      <c r="AD14">
        <v>0.38655122188056323</v>
      </c>
      <c r="AE14">
        <v>0.38677565555195864</v>
      </c>
      <c r="AF14">
        <v>0.38700016189088565</v>
      </c>
      <c r="AG14">
        <v>0.38722474093264264</v>
      </c>
      <c r="AH14">
        <v>0.38744939271255063</v>
      </c>
      <c r="AI14">
        <v>0.39026382422608841</v>
      </c>
      <c r="AJ14">
        <v>0.39312788398154253</v>
      </c>
      <c r="AK14">
        <v>0.39604289633385981</v>
      </c>
      <c r="AL14">
        <v>0.3990102331823519</v>
      </c>
      <c r="AM14">
        <v>0.40203131612357179</v>
      </c>
      <c r="AN14">
        <v>0.40203131612357179</v>
      </c>
      <c r="AO14">
        <v>0.40203131612357179</v>
      </c>
      <c r="AP14">
        <v>0.40203131612357179</v>
      </c>
      <c r="AQ14">
        <v>0.40203131612357179</v>
      </c>
      <c r="AR14">
        <v>0.40203131612357179</v>
      </c>
      <c r="AS14">
        <v>0.40203131612357179</v>
      </c>
      <c r="AT14">
        <v>0.40203131612357179</v>
      </c>
      <c r="AU14">
        <v>0.40203131612357179</v>
      </c>
      <c r="AV14">
        <v>0.40203131612357179</v>
      </c>
      <c r="AW14">
        <v>0.40203131612357179</v>
      </c>
      <c r="AX14">
        <v>0.40203131612357179</v>
      </c>
      <c r="AY14">
        <v>0.40203131612357179</v>
      </c>
      <c r="AZ14">
        <v>0.40203131612357179</v>
      </c>
      <c r="BA14">
        <v>0.40203131612357179</v>
      </c>
      <c r="BB14">
        <v>0.40203131612357179</v>
      </c>
    </row>
    <row r="15" spans="2:54" x14ac:dyDescent="0.35">
      <c r="B15" t="s">
        <v>9</v>
      </c>
      <c r="C15" s="3">
        <v>98273.499999999985</v>
      </c>
      <c r="D15">
        <v>97552.439999999988</v>
      </c>
      <c r="E15">
        <v>96831.37999999999</v>
      </c>
      <c r="F15">
        <v>96110.319999999992</v>
      </c>
      <c r="G15">
        <v>95389.26</v>
      </c>
      <c r="H15" s="3">
        <v>94668.200000000012</v>
      </c>
      <c r="I15">
        <v>93621.500000000015</v>
      </c>
      <c r="J15">
        <v>92574.800000000017</v>
      </c>
      <c r="K15">
        <v>91528.10000000002</v>
      </c>
      <c r="L15">
        <v>90481.400000000023</v>
      </c>
      <c r="M15" s="3">
        <v>89434.7</v>
      </c>
      <c r="N15">
        <f>N$11*Tabella33[[#This Row],[2031%]]</f>
        <v>88624.75392297926</v>
      </c>
      <c r="O15">
        <f>O$11*Tabella33[[#This Row],[2032%]]</f>
        <v>87814.807845958523</v>
      </c>
      <c r="P15">
        <f>P$11*Tabella33[[#This Row],[2033%]]</f>
        <v>87004.861768937772</v>
      </c>
      <c r="Q15">
        <f>Q$11*Tabella33[[#This Row],[2034%]]</f>
        <v>86194.915691917035</v>
      </c>
      <c r="R15">
        <f>R$11*Tabella33[[#This Row],[2035%]]</f>
        <v>85384.969614896298</v>
      </c>
      <c r="S15">
        <f>S$11*Tabella33[[#This Row],[2036%]]</f>
        <v>84575.023537875561</v>
      </c>
      <c r="T15">
        <f>T$11*Tabella33[[#This Row],[2037%]]</f>
        <v>83765.077460854824</v>
      </c>
      <c r="U15">
        <f>U$11*Tabella33[[#This Row],[2038%]]</f>
        <v>82955.131383834087</v>
      </c>
      <c r="V15">
        <f>V$11*Tabella33[[#This Row],[2039%]]</f>
        <v>82145.18530681335</v>
      </c>
      <c r="W15">
        <f>W$11*Tabella33[[#This Row],[2040%]]</f>
        <v>81335.239229792613</v>
      </c>
      <c r="X15">
        <f>X$11*Tabella33[[#This Row],[2041%]]</f>
        <v>81335.239229792613</v>
      </c>
      <c r="Y15">
        <f>Y$11*Tabella33[[#This Row],[2042%]]</f>
        <v>81335.239229792613</v>
      </c>
      <c r="Z15">
        <f>Z$11*Tabella33[[#This Row],[2043%]]</f>
        <v>81335.239229792613</v>
      </c>
      <c r="AA15">
        <f>AA$11*Tabella33[[#This Row],[2044%]]</f>
        <v>81335.239229792613</v>
      </c>
      <c r="AB15">
        <f>AB$11*Tabella33[[#This Row],[2045%]]</f>
        <v>81335.239229792613</v>
      </c>
      <c r="AC15">
        <v>0.34182847896440127</v>
      </c>
      <c r="AD15">
        <v>0.33937530344715972</v>
      </c>
      <c r="AE15">
        <v>0.33692133376497252</v>
      </c>
      <c r="AF15">
        <v>0.33446656953213538</v>
      </c>
      <c r="AG15">
        <v>0.33201101036269437</v>
      </c>
      <c r="AH15">
        <v>0.32955465587044541</v>
      </c>
      <c r="AI15">
        <v>0.32875929102344204</v>
      </c>
      <c r="AJ15">
        <v>0.32794990112063288</v>
      </c>
      <c r="AK15">
        <v>0.32712611189625085</v>
      </c>
      <c r="AL15">
        <v>0.32628753564838126</v>
      </c>
      <c r="AM15">
        <v>0.3254337706305544</v>
      </c>
      <c r="AN15">
        <v>0.3254337706305544</v>
      </c>
      <c r="AO15">
        <v>0.3254337706305544</v>
      </c>
      <c r="AP15">
        <v>0.3254337706305544</v>
      </c>
      <c r="AQ15">
        <v>0.3254337706305544</v>
      </c>
      <c r="AR15">
        <v>0.3254337706305544</v>
      </c>
      <c r="AS15">
        <v>0.3254337706305544</v>
      </c>
      <c r="AT15">
        <v>0.3254337706305544</v>
      </c>
      <c r="AU15">
        <v>0.3254337706305544</v>
      </c>
      <c r="AV15">
        <v>0.3254337706305544</v>
      </c>
      <c r="AW15">
        <v>0.3254337706305544</v>
      </c>
      <c r="AX15">
        <v>0.3254337706305544</v>
      </c>
      <c r="AY15">
        <v>0.3254337706305544</v>
      </c>
      <c r="AZ15">
        <v>0.3254337706305544</v>
      </c>
      <c r="BA15">
        <v>0.3254337706305544</v>
      </c>
      <c r="BB15">
        <v>0.3254337706305544</v>
      </c>
    </row>
    <row r="16" spans="2:54" x14ac:dyDescent="0.35">
      <c r="B16" t="s">
        <v>10</v>
      </c>
      <c r="C16" s="3">
        <v>19422.100000000002</v>
      </c>
      <c r="D16">
        <v>18956.900000000001</v>
      </c>
      <c r="E16">
        <v>18491.7</v>
      </c>
      <c r="F16">
        <v>18026.5</v>
      </c>
      <c r="G16">
        <v>17561.3</v>
      </c>
      <c r="H16" s="3">
        <v>17096.100000000002</v>
      </c>
      <c r="I16">
        <v>16677.420000000002</v>
      </c>
      <c r="J16">
        <v>16258.740000000002</v>
      </c>
      <c r="K16">
        <v>15840.060000000001</v>
      </c>
      <c r="L16">
        <v>15421.380000000001</v>
      </c>
      <c r="M16" s="3">
        <v>15002.699999999997</v>
      </c>
      <c r="N16">
        <f>N$11*Tabella33[[#This Row],[2031%]]</f>
        <v>14866.8312822683</v>
      </c>
      <c r="O16">
        <f>O$11*Tabella33[[#This Row],[2032%]]</f>
        <v>14730.962564536601</v>
      </c>
      <c r="P16">
        <f>P$11*Tabella33[[#This Row],[2033%]]</f>
        <v>14595.093846804904</v>
      </c>
      <c r="Q16">
        <f>Q$11*Tabella33[[#This Row],[2034%]]</f>
        <v>14459.225129073207</v>
      </c>
      <c r="R16">
        <f>R$11*Tabella33[[#This Row],[2035%]]</f>
        <v>14323.35641134151</v>
      </c>
      <c r="S16">
        <f>S$11*Tabella33[[#This Row],[2036%]]</f>
        <v>14187.487693609814</v>
      </c>
      <c r="T16">
        <f>T$11*Tabella33[[#This Row],[2037%]]</f>
        <v>14051.618975878115</v>
      </c>
      <c r="U16">
        <f>U$11*Tabella33[[#This Row],[2038%]]</f>
        <v>13915.750258146418</v>
      </c>
      <c r="V16">
        <f>V$11*Tabella33[[#This Row],[2039%]]</f>
        <v>13779.881540414721</v>
      </c>
      <c r="W16">
        <f>W$11*Tabella33[[#This Row],[2040%]]</f>
        <v>13644.012822683024</v>
      </c>
      <c r="X16">
        <f>X$11*Tabella33[[#This Row],[2041%]]</f>
        <v>13644.012822683024</v>
      </c>
      <c r="Y16">
        <f>Y$11*Tabella33[[#This Row],[2042%]]</f>
        <v>13644.012822683024</v>
      </c>
      <c r="Z16">
        <f>Z$11*Tabella33[[#This Row],[2043%]]</f>
        <v>13644.012822683024</v>
      </c>
      <c r="AA16">
        <f>AA$11*Tabella33[[#This Row],[2044%]]</f>
        <v>13644.012822683024</v>
      </c>
      <c r="AB16">
        <f>AB$11*Tabella33[[#This Row],[2045%]]</f>
        <v>13644.012822683024</v>
      </c>
      <c r="AC16">
        <v>6.7556634304207136E-2</v>
      </c>
      <c r="AD16">
        <v>6.5949182715649798E-2</v>
      </c>
      <c r="AE16">
        <v>6.4341210747814848E-2</v>
      </c>
      <c r="AF16">
        <v>6.2732718147968283E-2</v>
      </c>
      <c r="AG16">
        <v>6.1123704663212451E-2</v>
      </c>
      <c r="AH16">
        <v>5.9514170040485835E-2</v>
      </c>
      <c r="AI16">
        <v>5.8564077432001968E-2</v>
      </c>
      <c r="AJ16">
        <v>5.7597231377719188E-2</v>
      </c>
      <c r="AK16">
        <v>5.6613184803391815E-2</v>
      </c>
      <c r="AL16">
        <v>5.5611474584801215E-2</v>
      </c>
      <c r="AM16">
        <v>5.4591620820990262E-2</v>
      </c>
      <c r="AN16">
        <v>5.4591620820990262E-2</v>
      </c>
      <c r="AO16">
        <v>5.4591620820990262E-2</v>
      </c>
      <c r="AP16">
        <v>5.4591620820990262E-2</v>
      </c>
      <c r="AQ16">
        <v>5.4591620820990262E-2</v>
      </c>
      <c r="AR16">
        <v>5.4591620820990262E-2</v>
      </c>
      <c r="AS16">
        <v>5.4591620820990262E-2</v>
      </c>
      <c r="AT16">
        <v>5.4591620820990262E-2</v>
      </c>
      <c r="AU16">
        <v>5.4591620820990262E-2</v>
      </c>
      <c r="AV16">
        <v>5.4591620820990262E-2</v>
      </c>
      <c r="AW16">
        <v>5.4591620820990262E-2</v>
      </c>
      <c r="AX16">
        <v>5.4591620820990262E-2</v>
      </c>
      <c r="AY16">
        <v>5.4591620820990262E-2</v>
      </c>
      <c r="AZ16">
        <v>5.4591620820990262E-2</v>
      </c>
      <c r="BA16">
        <v>5.4591620820990262E-2</v>
      </c>
      <c r="BB16">
        <v>5.4591620820990262E-2</v>
      </c>
    </row>
    <row r="17" spans="2:54" x14ac:dyDescent="0.35">
      <c r="B17" t="s">
        <v>14</v>
      </c>
      <c r="C17" s="3">
        <v>17793.900000000001</v>
      </c>
      <c r="D17">
        <v>18259.100000000002</v>
      </c>
      <c r="E17">
        <v>18724.300000000003</v>
      </c>
      <c r="F17">
        <v>19189.500000000004</v>
      </c>
      <c r="G17">
        <v>19654.700000000004</v>
      </c>
      <c r="H17" s="3">
        <v>20119.900000000001</v>
      </c>
      <c r="I17">
        <v>19259.280000000002</v>
      </c>
      <c r="J17">
        <v>18398.660000000003</v>
      </c>
      <c r="K17">
        <v>17538.040000000005</v>
      </c>
      <c r="L17">
        <v>16677.420000000006</v>
      </c>
      <c r="M17" s="3">
        <v>15816.800000000001</v>
      </c>
      <c r="N17">
        <f>N$11*Tabella33[[#This Row],[2031%]]</f>
        <v>15673.55856115108</v>
      </c>
      <c r="O17">
        <f>O$11*Tabella33[[#This Row],[2032%]]</f>
        <v>15530.317122302158</v>
      </c>
      <c r="P17">
        <f>P$11*Tabella33[[#This Row],[2033%]]</f>
        <v>15387.075683453237</v>
      </c>
      <c r="Q17">
        <f>Q$11*Tabella33[[#This Row],[2034%]]</f>
        <v>15243.834244604315</v>
      </c>
      <c r="R17">
        <f>R$11*Tabella33[[#This Row],[2035%]]</f>
        <v>15100.592805755394</v>
      </c>
      <c r="S17">
        <f>S$11*Tabella33[[#This Row],[2036%]]</f>
        <v>14957.351366906472</v>
      </c>
      <c r="T17">
        <f>T$11*Tabella33[[#This Row],[2037%]]</f>
        <v>14814.109928057551</v>
      </c>
      <c r="U17">
        <f>U$11*Tabella33[[#This Row],[2038%]]</f>
        <v>14670.868489208631</v>
      </c>
      <c r="V17">
        <f>V$11*Tabella33[[#This Row],[2039%]]</f>
        <v>14527.62705035971</v>
      </c>
      <c r="W17">
        <f>W$11*Tabella33[[#This Row],[2040%]]</f>
        <v>14384.385611510788</v>
      </c>
      <c r="X17">
        <f>X$11*Tabella33[[#This Row],[2041%]]</f>
        <v>14384.385611510788</v>
      </c>
      <c r="Y17">
        <f>Y$11*Tabella33[[#This Row],[2042%]]</f>
        <v>14384.385611510788</v>
      </c>
      <c r="Z17">
        <f>Z$11*Tabella33[[#This Row],[2043%]]</f>
        <v>14384.385611510788</v>
      </c>
      <c r="AA17">
        <f>AA$11*Tabella33[[#This Row],[2044%]]</f>
        <v>14384.385611510788</v>
      </c>
      <c r="AB17">
        <f>AB$11*Tabella33[[#This Row],[2045%]]</f>
        <v>14384.385611510788</v>
      </c>
      <c r="AC17">
        <v>6.1893203883495153E-2</v>
      </c>
      <c r="AD17">
        <v>6.3521605437773118E-2</v>
      </c>
      <c r="AE17">
        <v>6.5150534153447737E-2</v>
      </c>
      <c r="AF17">
        <v>6.6779990286546895E-2</v>
      </c>
      <c r="AG17">
        <v>6.8409974093264284E-2</v>
      </c>
      <c r="AH17">
        <v>7.0040485829959517E-2</v>
      </c>
      <c r="AI17">
        <v>6.7630482724822361E-2</v>
      </c>
      <c r="AJ17">
        <v>6.51779828609097E-2</v>
      </c>
      <c r="AK17">
        <v>6.2681852190539553E-2</v>
      </c>
      <c r="AL17">
        <v>6.0140915953699067E-2</v>
      </c>
      <c r="AM17">
        <v>5.7553956834532384E-2</v>
      </c>
      <c r="AN17">
        <v>5.7553956834532384E-2</v>
      </c>
      <c r="AO17">
        <v>5.7553956834532384E-2</v>
      </c>
      <c r="AP17">
        <v>5.7553956834532384E-2</v>
      </c>
      <c r="AQ17">
        <v>5.7553956834532384E-2</v>
      </c>
      <c r="AR17">
        <v>5.7553956834532384E-2</v>
      </c>
      <c r="AS17">
        <v>5.7553956834532384E-2</v>
      </c>
      <c r="AT17">
        <v>5.7553956834532384E-2</v>
      </c>
      <c r="AU17">
        <v>5.7553956834532384E-2</v>
      </c>
      <c r="AV17">
        <v>5.7553956834532384E-2</v>
      </c>
      <c r="AW17">
        <v>5.7553956834532384E-2</v>
      </c>
      <c r="AX17">
        <v>5.7553956834532384E-2</v>
      </c>
      <c r="AY17">
        <v>5.7553956834532384E-2</v>
      </c>
      <c r="AZ17">
        <v>5.7553956834532384E-2</v>
      </c>
      <c r="BA17">
        <v>5.7553956834532384E-2</v>
      </c>
      <c r="BB17">
        <v>5.7553956834532384E-2</v>
      </c>
    </row>
    <row r="19" spans="2:54" x14ac:dyDescent="0.35">
      <c r="B19" s="3" t="s">
        <v>6</v>
      </c>
      <c r="C19" s="3">
        <v>374951.2</v>
      </c>
      <c r="D19">
        <v>381836.16000000003</v>
      </c>
      <c r="E19">
        <v>388721.12000000005</v>
      </c>
      <c r="F19">
        <v>395606.08000000007</v>
      </c>
      <c r="G19">
        <v>402491.0400000001</v>
      </c>
      <c r="H19" s="3">
        <v>409376.00000000006</v>
      </c>
      <c r="I19">
        <v>402886.46</v>
      </c>
      <c r="J19">
        <v>396396.92</v>
      </c>
      <c r="K19">
        <v>389907.37999999995</v>
      </c>
      <c r="L19">
        <v>383417.83999999991</v>
      </c>
      <c r="M19" s="3">
        <v>376928.3</v>
      </c>
      <c r="N19">
        <v>370438.75999999995</v>
      </c>
      <c r="O19">
        <v>363949.21999999991</v>
      </c>
      <c r="P19">
        <v>357459.67999999988</v>
      </c>
      <c r="Q19">
        <v>350970.13999999984</v>
      </c>
      <c r="R19">
        <v>344480.5999999998</v>
      </c>
      <c r="S19">
        <v>337991.05999999976</v>
      </c>
      <c r="T19">
        <v>331501.51999999973</v>
      </c>
      <c r="U19">
        <v>325011.97999999969</v>
      </c>
      <c r="V19">
        <v>318522.43999999965</v>
      </c>
      <c r="W19">
        <v>312032.89999999962</v>
      </c>
      <c r="X19">
        <v>312032.89999999962</v>
      </c>
      <c r="Y19">
        <v>312032.89999999962</v>
      </c>
      <c r="Z19">
        <v>312032.89999999962</v>
      </c>
      <c r="AA19">
        <v>312032.89999999962</v>
      </c>
      <c r="AB19">
        <v>312032.89999999962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0.99999999999999989</v>
      </c>
      <c r="AN19">
        <v>0.99999999999999989</v>
      </c>
      <c r="AO19">
        <v>0.99999999999999989</v>
      </c>
      <c r="AP19">
        <v>0.99999999999999989</v>
      </c>
      <c r="AQ19">
        <v>0.99999999999999989</v>
      </c>
      <c r="AR19">
        <v>0.99999999999999989</v>
      </c>
      <c r="AS19">
        <v>0.99999999999999989</v>
      </c>
      <c r="AT19">
        <v>0.99999999999999989</v>
      </c>
      <c r="AU19">
        <v>0.99999999999999989</v>
      </c>
      <c r="AV19">
        <v>0.99999999999999989</v>
      </c>
      <c r="AW19">
        <v>0.99999999999999989</v>
      </c>
      <c r="AX19">
        <v>0.99999999999999989</v>
      </c>
      <c r="AY19">
        <v>0.99999999999999989</v>
      </c>
      <c r="AZ19">
        <v>0.99999999999999989</v>
      </c>
      <c r="BA19">
        <v>0.99999999999999989</v>
      </c>
      <c r="BB19">
        <v>0.99999999999999989</v>
      </c>
    </row>
    <row r="20" spans="2:54" x14ac:dyDescent="0.35">
      <c r="B20" t="s">
        <v>11</v>
      </c>
      <c r="C20" s="3">
        <v>11513.700000000023</v>
      </c>
      <c r="D20">
        <v>13839.700000000006</v>
      </c>
      <c r="E20">
        <v>16165.69999999999</v>
      </c>
      <c r="F20">
        <v>18491.699999999972</v>
      </c>
      <c r="G20">
        <v>20817.699999999953</v>
      </c>
      <c r="H20" s="3">
        <v>23143.699999999939</v>
      </c>
      <c r="I20">
        <v>27539.839999999942</v>
      </c>
      <c r="J20">
        <v>31935.979999999945</v>
      </c>
      <c r="K20">
        <v>36332.119999999944</v>
      </c>
      <c r="L20">
        <v>40728.259999999944</v>
      </c>
      <c r="M20" s="3">
        <v>45124.399999999951</v>
      </c>
      <c r="N20">
        <v>44347.497340327005</v>
      </c>
      <c r="O20">
        <v>43570.59468065406</v>
      </c>
      <c r="P20">
        <v>42793.692020981114</v>
      </c>
      <c r="Q20">
        <v>42016.789361308169</v>
      </c>
      <c r="R20">
        <v>41239.886701635231</v>
      </c>
      <c r="S20">
        <v>40462.984041962285</v>
      </c>
      <c r="T20">
        <v>39686.08138228934</v>
      </c>
      <c r="U20">
        <v>38909.178722616394</v>
      </c>
      <c r="V20">
        <v>38132.276062943449</v>
      </c>
      <c r="W20">
        <v>37355.373403270511</v>
      </c>
      <c r="X20">
        <v>37355.373403270511</v>
      </c>
      <c r="Y20">
        <v>37355.373403270511</v>
      </c>
      <c r="Z20">
        <v>37355.373403270511</v>
      </c>
      <c r="AA20">
        <v>37355.373403270511</v>
      </c>
      <c r="AB20">
        <v>37355.373403270511</v>
      </c>
      <c r="AC20">
        <v>3.0707196029776736E-2</v>
      </c>
      <c r="AD20">
        <v>3.6245126705653032E-2</v>
      </c>
      <c r="AE20">
        <v>4.1586883676400156E-2</v>
      </c>
      <c r="AF20">
        <v>4.6742709313264269E-2</v>
      </c>
      <c r="AG20">
        <v>5.1722145168746986E-2</v>
      </c>
      <c r="AH20">
        <v>5.6534090909090749E-2</v>
      </c>
      <c r="AI20">
        <v>6.8356330465908291E-2</v>
      </c>
      <c r="AJ20">
        <v>8.056566130735815E-2</v>
      </c>
      <c r="AK20">
        <v>9.3181411441865883E-2</v>
      </c>
      <c r="AL20">
        <v>0.10622421742295547</v>
      </c>
      <c r="AM20">
        <v>0.11971613699475457</v>
      </c>
      <c r="AN20">
        <v>0.11971613699475457</v>
      </c>
      <c r="AO20">
        <v>0.11971613699475457</v>
      </c>
      <c r="AP20">
        <v>0.11971613699475457</v>
      </c>
      <c r="AQ20">
        <v>0.11971613699475457</v>
      </c>
      <c r="AR20">
        <v>0.11971613699475457</v>
      </c>
      <c r="AS20">
        <v>0.11971613699475457</v>
      </c>
      <c r="AT20">
        <v>0.11971613699475457</v>
      </c>
      <c r="AU20">
        <v>0.11971613699475457</v>
      </c>
      <c r="AV20">
        <v>0.11971613699475457</v>
      </c>
      <c r="AW20">
        <v>0.11971613699475457</v>
      </c>
      <c r="AX20">
        <v>0.11971613699475457</v>
      </c>
      <c r="AY20">
        <v>0.11971613699475457</v>
      </c>
      <c r="AZ20">
        <v>0.11971613699475457</v>
      </c>
      <c r="BA20">
        <v>0.11971613699475457</v>
      </c>
      <c r="BB20">
        <v>0.11971613699475457</v>
      </c>
    </row>
    <row r="21" spans="2:54" x14ac:dyDescent="0.35">
      <c r="B21" t="s">
        <v>15</v>
      </c>
      <c r="C21" s="3">
        <v>14304.900000000005</v>
      </c>
      <c r="D21">
        <v>14607.280000000012</v>
      </c>
      <c r="E21">
        <v>14909.660000000018</v>
      </c>
      <c r="F21">
        <v>15212.040000000025</v>
      </c>
      <c r="G21">
        <v>15514.420000000031</v>
      </c>
      <c r="H21" s="3">
        <v>15816.800000000034</v>
      </c>
      <c r="I21">
        <v>19584.920000000027</v>
      </c>
      <c r="J21">
        <v>23353.040000000023</v>
      </c>
      <c r="K21">
        <v>27121.160000000018</v>
      </c>
      <c r="L21">
        <v>30889.280000000013</v>
      </c>
      <c r="M21" s="3">
        <v>34657.4</v>
      </c>
      <c r="N21">
        <v>34060.706720148097</v>
      </c>
      <c r="O21">
        <v>33464.013440296199</v>
      </c>
      <c r="P21">
        <v>32867.320160444295</v>
      </c>
      <c r="Q21">
        <v>32270.626880592397</v>
      </c>
      <c r="R21">
        <v>31673.933600740496</v>
      </c>
      <c r="S21">
        <v>31077.240320888595</v>
      </c>
      <c r="T21">
        <v>30480.547041036694</v>
      </c>
      <c r="U21">
        <v>29883.853761184793</v>
      </c>
      <c r="V21">
        <v>29287.160481332892</v>
      </c>
      <c r="W21">
        <v>28690.467201480991</v>
      </c>
      <c r="X21">
        <v>28690.467201480991</v>
      </c>
      <c r="Y21">
        <v>28690.467201480991</v>
      </c>
      <c r="Z21">
        <v>28690.467201480991</v>
      </c>
      <c r="AA21">
        <v>28690.467201480991</v>
      </c>
      <c r="AB21">
        <v>28690.467201480991</v>
      </c>
      <c r="AC21">
        <v>3.8151364764268003E-2</v>
      </c>
      <c r="AD21">
        <v>3.8255360623781702E-2</v>
      </c>
      <c r="AE21">
        <v>3.8355672570607985E-2</v>
      </c>
      <c r="AF21">
        <v>3.8452492944496763E-2</v>
      </c>
      <c r="AG21">
        <v>3.854600092464177E-2</v>
      </c>
      <c r="AH21">
        <v>3.8636363636363712E-2</v>
      </c>
      <c r="AI21">
        <v>4.8611512037411299E-2</v>
      </c>
      <c r="AJ21">
        <v>5.8913273090012971E-2</v>
      </c>
      <c r="AK21">
        <v>6.9557955019984546E-2</v>
      </c>
      <c r="AL21">
        <v>8.0562970152875571E-2</v>
      </c>
      <c r="AM21">
        <v>9.1946929959888929E-2</v>
      </c>
      <c r="AN21">
        <v>9.1946929959888929E-2</v>
      </c>
      <c r="AO21">
        <v>9.1946929959888929E-2</v>
      </c>
      <c r="AP21">
        <v>9.1946929959888929E-2</v>
      </c>
      <c r="AQ21">
        <v>9.1946929959888929E-2</v>
      </c>
      <c r="AR21">
        <v>9.1946929959888929E-2</v>
      </c>
      <c r="AS21">
        <v>9.1946929959888929E-2</v>
      </c>
      <c r="AT21">
        <v>9.1946929959888929E-2</v>
      </c>
      <c r="AU21">
        <v>9.1946929959888929E-2</v>
      </c>
      <c r="AV21">
        <v>9.1946929959888929E-2</v>
      </c>
      <c r="AW21">
        <v>9.1946929959888929E-2</v>
      </c>
      <c r="AX21">
        <v>9.1946929959888929E-2</v>
      </c>
      <c r="AY21">
        <v>9.1946929959888929E-2</v>
      </c>
      <c r="AZ21">
        <v>9.1946929959888929E-2</v>
      </c>
      <c r="BA21">
        <v>9.1946929959888929E-2</v>
      </c>
      <c r="BB21">
        <v>9.1946929959888929E-2</v>
      </c>
    </row>
    <row r="22" spans="2:54" x14ac:dyDescent="0.35">
      <c r="B22" t="s">
        <v>83</v>
      </c>
      <c r="C22" s="3">
        <v>8606.1999999999825</v>
      </c>
      <c r="D22">
        <v>10908.939999999988</v>
      </c>
      <c r="E22">
        <v>13211.679999999993</v>
      </c>
      <c r="F22">
        <v>15514.419999999998</v>
      </c>
      <c r="G22">
        <v>17817.160000000003</v>
      </c>
      <c r="H22" s="3">
        <v>20119.900000000005</v>
      </c>
      <c r="I22">
        <v>23632.160000000011</v>
      </c>
      <c r="J22">
        <v>27144.420000000016</v>
      </c>
      <c r="K22">
        <v>30656.680000000022</v>
      </c>
      <c r="L22">
        <v>34168.940000000024</v>
      </c>
      <c r="M22" s="3">
        <v>37681.200000000026</v>
      </c>
      <c r="N22">
        <v>37032.446232644266</v>
      </c>
      <c r="O22">
        <v>36383.692465288506</v>
      </c>
      <c r="P22">
        <v>35734.938697932746</v>
      </c>
      <c r="Q22">
        <v>35086.184930576994</v>
      </c>
      <c r="R22">
        <v>34437.431163221234</v>
      </c>
      <c r="S22">
        <v>33788.677395865474</v>
      </c>
      <c r="T22">
        <v>33139.923628509714</v>
      </c>
      <c r="U22">
        <v>32491.169861153958</v>
      </c>
      <c r="V22">
        <v>31842.416093798198</v>
      </c>
      <c r="W22">
        <v>31193.662326442438</v>
      </c>
      <c r="X22">
        <v>31193.662326442438</v>
      </c>
      <c r="Y22">
        <v>31193.662326442438</v>
      </c>
      <c r="Z22">
        <v>31193.662326442438</v>
      </c>
      <c r="AA22">
        <v>31193.662326442438</v>
      </c>
      <c r="AB22">
        <v>31193.662326442438</v>
      </c>
      <c r="AC22">
        <v>2.2952853598014841E-2</v>
      </c>
      <c r="AD22">
        <v>2.8569688109161759E-2</v>
      </c>
      <c r="AE22">
        <v>3.3987553853518405E-2</v>
      </c>
      <c r="AF22">
        <v>3.9216839134524915E-2</v>
      </c>
      <c r="AG22">
        <v>4.4267221451687468E-2</v>
      </c>
      <c r="AH22">
        <v>4.914772727272728E-2</v>
      </c>
      <c r="AI22">
        <v>5.8657121413313341E-2</v>
      </c>
      <c r="AJ22">
        <v>6.8477878183311858E-2</v>
      </c>
      <c r="AK22">
        <v>7.8625544353636057E-2</v>
      </c>
      <c r="AL22">
        <v>8.9116719242902293E-2</v>
      </c>
      <c r="AM22">
        <v>9.9969145325516887E-2</v>
      </c>
      <c r="AN22">
        <v>9.9969145325516887E-2</v>
      </c>
      <c r="AO22">
        <v>9.9969145325516887E-2</v>
      </c>
      <c r="AP22">
        <v>9.9969145325516887E-2</v>
      </c>
      <c r="AQ22">
        <v>9.9969145325516887E-2</v>
      </c>
      <c r="AR22">
        <v>9.9969145325516887E-2</v>
      </c>
      <c r="AS22">
        <v>9.9969145325516887E-2</v>
      </c>
      <c r="AT22">
        <v>9.9969145325516887E-2</v>
      </c>
      <c r="AU22">
        <v>9.9969145325516887E-2</v>
      </c>
      <c r="AV22">
        <v>9.9969145325516887E-2</v>
      </c>
      <c r="AW22">
        <v>9.9969145325516887E-2</v>
      </c>
      <c r="AX22">
        <v>9.9969145325516887E-2</v>
      </c>
      <c r="AY22">
        <v>9.9969145325516887E-2</v>
      </c>
      <c r="AZ22">
        <v>9.9969145325516887E-2</v>
      </c>
      <c r="BA22">
        <v>9.9969145325516887E-2</v>
      </c>
      <c r="BB22">
        <v>9.9969145325516887E-2</v>
      </c>
    </row>
    <row r="23" spans="2:54" x14ac:dyDescent="0.35">
      <c r="B23" t="s">
        <v>80</v>
      </c>
      <c r="C23" s="3">
        <v>340526.4</v>
      </c>
      <c r="D23">
        <v>342168.18384000001</v>
      </c>
      <c r="E23">
        <v>343796.19776000001</v>
      </c>
      <c r="F23">
        <v>345410.44176000002</v>
      </c>
      <c r="G23">
        <v>347010.91584000003</v>
      </c>
      <c r="H23" s="3">
        <v>348597.62</v>
      </c>
      <c r="I23">
        <v>329991.34123999998</v>
      </c>
      <c r="J23">
        <v>311398.04155999993</v>
      </c>
      <c r="K23">
        <v>292817.72095999995</v>
      </c>
      <c r="L23">
        <v>274250.37943999987</v>
      </c>
      <c r="M23" s="3">
        <v>255696.01699999999</v>
      </c>
      <c r="N23">
        <v>251293.72210688057</v>
      </c>
      <c r="O23">
        <v>246891.42721376111</v>
      </c>
      <c r="P23">
        <v>242489.13232064169</v>
      </c>
      <c r="Q23">
        <v>238086.83742752226</v>
      </c>
      <c r="R23">
        <v>233684.5425344028</v>
      </c>
      <c r="S23">
        <v>229282.24764128338</v>
      </c>
      <c r="T23">
        <v>224879.95274816395</v>
      </c>
      <c r="U23">
        <v>220477.65785504453</v>
      </c>
      <c r="V23">
        <v>216075.36296192507</v>
      </c>
      <c r="W23">
        <v>211673.06806880565</v>
      </c>
      <c r="X23">
        <v>211673.06806880565</v>
      </c>
      <c r="Y23">
        <v>211673.06806880565</v>
      </c>
      <c r="Z23">
        <v>211673.06806880565</v>
      </c>
      <c r="AA23">
        <v>211673.06806880565</v>
      </c>
      <c r="AB23">
        <v>211673.06806880565</v>
      </c>
      <c r="AC23">
        <v>0.90818858560794047</v>
      </c>
      <c r="AD23">
        <v>0.89611257309941517</v>
      </c>
      <c r="AE23">
        <v>0.88442891335567242</v>
      </c>
      <c r="AF23">
        <v>0.87311712135465647</v>
      </c>
      <c r="AG23">
        <v>0.8621581137309291</v>
      </c>
      <c r="AH23">
        <v>0.85153409090909082</v>
      </c>
      <c r="AI23">
        <v>0.81906783672998085</v>
      </c>
      <c r="AJ23">
        <v>0.7855712944490082</v>
      </c>
      <c r="AK23">
        <v>0.75099302034242077</v>
      </c>
      <c r="AL23">
        <v>0.71527808784275648</v>
      </c>
      <c r="AM23">
        <v>0.67836778771983952</v>
      </c>
      <c r="AN23">
        <v>0.67836778771983952</v>
      </c>
      <c r="AO23">
        <v>0.67836778771983952</v>
      </c>
      <c r="AP23">
        <v>0.67836778771983952</v>
      </c>
      <c r="AQ23">
        <v>0.67836778771983952</v>
      </c>
      <c r="AR23">
        <v>0.67836778771983952</v>
      </c>
      <c r="AS23">
        <v>0.67836778771983952</v>
      </c>
      <c r="AT23">
        <v>0.67836778771983952</v>
      </c>
      <c r="AU23">
        <v>0.67836778771983952</v>
      </c>
      <c r="AV23">
        <v>0.67836778771983952</v>
      </c>
      <c r="AW23">
        <v>0.67836778771983952</v>
      </c>
      <c r="AX23">
        <v>0.67836778771983952</v>
      </c>
      <c r="AY23">
        <v>0.67836778771983952</v>
      </c>
      <c r="AZ23">
        <v>0.67836778771983952</v>
      </c>
      <c r="BA23">
        <v>0.67836778771983952</v>
      </c>
      <c r="BB23">
        <v>0.67836778771983952</v>
      </c>
    </row>
    <row r="24" spans="2:54" x14ac:dyDescent="0.35">
      <c r="B24" t="s">
        <v>84</v>
      </c>
      <c r="C24" s="3">
        <v>0</v>
      </c>
      <c r="D24">
        <v>381.83616000000006</v>
      </c>
      <c r="E24">
        <v>777.44224000000008</v>
      </c>
      <c r="F24">
        <v>1186.8182400000003</v>
      </c>
      <c r="G24">
        <v>1609.9641600000004</v>
      </c>
      <c r="H24" s="3">
        <v>2046.8800000000003</v>
      </c>
      <c r="I24">
        <v>2417.3187600000001</v>
      </c>
      <c r="J24">
        <v>2774.77844</v>
      </c>
      <c r="K24">
        <v>3119.2590399999995</v>
      </c>
      <c r="L24">
        <v>3450.7605599999997</v>
      </c>
      <c r="M24" s="3">
        <v>3769.2830000000008</v>
      </c>
      <c r="N24">
        <v>3704.3876</v>
      </c>
      <c r="O24">
        <v>3639.4921999999997</v>
      </c>
      <c r="P24">
        <v>3574.5967999999993</v>
      </c>
      <c r="Q24">
        <v>3509.701399999999</v>
      </c>
      <c r="R24">
        <v>3444.8059999999987</v>
      </c>
      <c r="S24">
        <v>3379.9105999999983</v>
      </c>
      <c r="T24">
        <v>3315.015199999998</v>
      </c>
      <c r="U24">
        <v>3250.1197999999977</v>
      </c>
      <c r="V24">
        <v>3185.2243999999973</v>
      </c>
      <c r="W24">
        <v>3120.3289999999965</v>
      </c>
      <c r="X24">
        <v>3120.3289999999965</v>
      </c>
      <c r="Y24">
        <v>3120.3289999999965</v>
      </c>
      <c r="Z24">
        <v>3120.3289999999965</v>
      </c>
      <c r="AA24">
        <v>3120.3289999999965</v>
      </c>
      <c r="AB24">
        <v>3120.3289999999965</v>
      </c>
      <c r="AC24">
        <v>0</v>
      </c>
      <c r="AD24">
        <v>1E-3</v>
      </c>
      <c r="AE24">
        <v>2E-3</v>
      </c>
      <c r="AF24">
        <v>3.0000000000000001E-3</v>
      </c>
      <c r="AG24">
        <v>4.0000000000000001E-3</v>
      </c>
      <c r="AH24">
        <v>5.0000000000000001E-3</v>
      </c>
      <c r="AI24">
        <v>6.0000000000000001E-3</v>
      </c>
      <c r="AJ24">
        <v>7.0000000000000001E-3</v>
      </c>
      <c r="AK24">
        <v>8.0000000000000002E-3</v>
      </c>
      <c r="AL24">
        <v>9.0000000000000011E-3</v>
      </c>
      <c r="AM24">
        <v>1.0000000000000002E-2</v>
      </c>
      <c r="AN24">
        <v>1.0000000000000002E-2</v>
      </c>
      <c r="AO24">
        <v>1.0000000000000002E-2</v>
      </c>
      <c r="AP24">
        <v>1.0000000000000002E-2</v>
      </c>
      <c r="AQ24">
        <v>1.0000000000000002E-2</v>
      </c>
      <c r="AR24">
        <v>1.0000000000000002E-2</v>
      </c>
      <c r="AS24">
        <v>1.0000000000000002E-2</v>
      </c>
      <c r="AT24">
        <v>1.0000000000000002E-2</v>
      </c>
      <c r="AU24">
        <v>1.0000000000000002E-2</v>
      </c>
      <c r="AV24">
        <v>1.0000000000000002E-2</v>
      </c>
      <c r="AW24">
        <v>1.0000000000000002E-2</v>
      </c>
      <c r="AX24">
        <v>1.0000000000000002E-2</v>
      </c>
      <c r="AY24">
        <v>1.0000000000000002E-2</v>
      </c>
      <c r="AZ24">
        <v>1.0000000000000002E-2</v>
      </c>
      <c r="BA24">
        <v>1.0000000000000002E-2</v>
      </c>
      <c r="BB24">
        <v>1.0000000000000002E-2</v>
      </c>
    </row>
    <row r="26" spans="2:54" x14ac:dyDescent="0.35">
      <c r="B26" s="3" t="s">
        <v>31</v>
      </c>
      <c r="C26" s="3">
        <v>172063.524</v>
      </c>
      <c r="D26">
        <v>169045.77160000001</v>
      </c>
      <c r="E26">
        <v>166028.01920000001</v>
      </c>
      <c r="F26">
        <v>163010.26680000001</v>
      </c>
      <c r="G26">
        <v>159992.51440000001</v>
      </c>
      <c r="H26" s="3">
        <v>156974.76200000002</v>
      </c>
      <c r="I26">
        <v>153957.00960000002</v>
      </c>
      <c r="J26">
        <v>150939.25720000002</v>
      </c>
      <c r="K26">
        <v>147921.50480000002</v>
      </c>
      <c r="L26">
        <v>144903.75240000003</v>
      </c>
      <c r="M26" s="3">
        <v>141886</v>
      </c>
      <c r="N26">
        <v>139585.58599999998</v>
      </c>
      <c r="O26">
        <v>137285.17199999996</v>
      </c>
      <c r="P26">
        <v>134984.75799999994</v>
      </c>
      <c r="Q26">
        <v>132684.34399999992</v>
      </c>
      <c r="R26">
        <v>130383.92999999991</v>
      </c>
      <c r="S26">
        <v>128083.51599999989</v>
      </c>
      <c r="T26">
        <v>125783.10199999987</v>
      </c>
      <c r="U26">
        <v>123482.68799999985</v>
      </c>
      <c r="V26">
        <v>121182.27399999983</v>
      </c>
      <c r="W26">
        <v>118881.85999999981</v>
      </c>
      <c r="X26">
        <v>118881.85999999981</v>
      </c>
      <c r="Y26">
        <v>118881.85999999981</v>
      </c>
      <c r="Z26">
        <v>118881.85999999981</v>
      </c>
      <c r="AA26">
        <v>118881.85999999981</v>
      </c>
      <c r="AB26">
        <v>118881.85999999981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0.99999999999999978</v>
      </c>
      <c r="AI26">
        <v>0.99999999999999967</v>
      </c>
      <c r="AJ26">
        <v>0.99999999999999978</v>
      </c>
      <c r="AK26">
        <v>0.99999999999999967</v>
      </c>
      <c r="AL26">
        <v>0.99999999999999967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</row>
    <row r="27" spans="2:54" x14ac:dyDescent="0.35">
      <c r="B27" t="s">
        <v>13</v>
      </c>
      <c r="C27" s="3">
        <v>2825.5052072480098</v>
      </c>
      <c r="D27">
        <v>4011.0739513291992</v>
      </c>
      <c r="E27">
        <v>5196.6426954103881</v>
      </c>
      <c r="F27">
        <v>6382.211439491577</v>
      </c>
      <c r="G27">
        <v>7567.780183572766</v>
      </c>
      <c r="H27" s="3">
        <v>8753.3489276539549</v>
      </c>
      <c r="I27">
        <v>9938.9176717351438</v>
      </c>
      <c r="J27">
        <v>11124.486415816333</v>
      </c>
      <c r="K27">
        <v>12310.055159897522</v>
      </c>
      <c r="L27">
        <v>13495.623903978711</v>
      </c>
      <c r="M27" s="3">
        <v>14681.192648059901</v>
      </c>
      <c r="N27">
        <f>N$26*Tabella33[[#This Row],[2031%]]</f>
        <v>14443.164786929879</v>
      </c>
      <c r="O27">
        <f>O$26*Tabella33[[#This Row],[2032%]]</f>
        <v>14205.136925799856</v>
      </c>
      <c r="P27">
        <f>P$26*Tabella33[[#This Row],[2033%]]</f>
        <v>13967.109064669834</v>
      </c>
      <c r="Q27">
        <f>Q$26*Tabella33[[#This Row],[2034%]]</f>
        <v>13729.081203539812</v>
      </c>
      <c r="R27">
        <f>R$26*Tabella33[[#This Row],[2035%]]</f>
        <v>13491.05334240979</v>
      </c>
      <c r="S27">
        <f>S$26*Tabella33[[#This Row],[2036%]]</f>
        <v>13253.025481279767</v>
      </c>
      <c r="T27">
        <f>T$26*Tabella33[[#This Row],[2037%]]</f>
        <v>13014.997620149745</v>
      </c>
      <c r="U27">
        <f>U$26*Tabella33[[#This Row],[2038%]]</f>
        <v>12776.969759019723</v>
      </c>
      <c r="V27">
        <f>V$26*Tabella33[[#This Row],[2039%]]</f>
        <v>12538.941897889701</v>
      </c>
      <c r="W27">
        <f>W$26*Tabella33[[#This Row],[2040%]]</f>
        <v>12300.914036759677</v>
      </c>
      <c r="X27">
        <f>X$26*Tabella33[[#This Row],[2041%]]</f>
        <v>12300.914036759677</v>
      </c>
      <c r="Y27">
        <f>Y$26*Tabella33[[#This Row],[2042%]]</f>
        <v>12300.914036759677</v>
      </c>
      <c r="Z27">
        <f>Z$26*Tabella33[[#This Row],[2043%]]</f>
        <v>12300.914036759677</v>
      </c>
      <c r="AA27">
        <f>AA$26*Tabella33[[#This Row],[2044%]]</f>
        <v>12300.914036759677</v>
      </c>
      <c r="AB27">
        <f>AB$26*Tabella33[[#This Row],[2045%]]</f>
        <v>12300.914036759677</v>
      </c>
      <c r="AC27">
        <v>1.6421291053227583E-2</v>
      </c>
      <c r="AD27">
        <v>2.3727739022187996E-2</v>
      </c>
      <c r="AE27">
        <v>3.1299793374938899E-2</v>
      </c>
      <c r="AF27">
        <v>3.9152205347421566E-2</v>
      </c>
      <c r="AG27">
        <v>4.7300839117087878E-2</v>
      </c>
      <c r="AH27">
        <v>5.5762778781304694E-2</v>
      </c>
      <c r="AI27">
        <v>6.455644791723171E-2</v>
      </c>
      <c r="AJ27">
        <v>7.3701743483976359E-2</v>
      </c>
      <c r="AK27">
        <v>8.3220186115207234E-2</v>
      </c>
      <c r="AL27">
        <v>9.3135089191649589E-2</v>
      </c>
      <c r="AM27">
        <v>0.10347174948944858</v>
      </c>
      <c r="AN27">
        <v>0.10347174948944858</v>
      </c>
      <c r="AO27">
        <v>0.10347174948944858</v>
      </c>
      <c r="AP27">
        <v>0.10347174948944858</v>
      </c>
      <c r="AQ27">
        <v>0.10347174948944858</v>
      </c>
      <c r="AR27">
        <v>0.10347174948944858</v>
      </c>
      <c r="AS27">
        <v>0.10347174948944858</v>
      </c>
      <c r="AT27">
        <v>0.10347174948944858</v>
      </c>
      <c r="AU27">
        <v>0.10347174948944858</v>
      </c>
      <c r="AV27">
        <v>0.10347174948944858</v>
      </c>
      <c r="AW27">
        <v>0.10347174948944858</v>
      </c>
      <c r="AX27">
        <v>0.10347174948944858</v>
      </c>
      <c r="AY27">
        <v>0.10347174948944858</v>
      </c>
      <c r="AZ27">
        <v>0.10347174948944858</v>
      </c>
      <c r="BA27">
        <v>0.10347174948944858</v>
      </c>
      <c r="BB27">
        <v>0.10347174948944858</v>
      </c>
    </row>
    <row r="28" spans="2:54" x14ac:dyDescent="0.35">
      <c r="B28" t="s">
        <v>12</v>
      </c>
      <c r="C28" s="3">
        <v>5358.7167723669381</v>
      </c>
      <c r="D28">
        <v>5170.5575525842942</v>
      </c>
      <c r="E28">
        <v>4982.3983328016502</v>
      </c>
      <c r="F28">
        <v>4794.2391130190063</v>
      </c>
      <c r="G28">
        <v>4606.0798932363623</v>
      </c>
      <c r="H28" s="3">
        <v>4417.9206734537183</v>
      </c>
      <c r="I28">
        <v>4229.7614536710744</v>
      </c>
      <c r="J28">
        <v>4041.6022338884304</v>
      </c>
      <c r="K28">
        <v>3853.4430141057865</v>
      </c>
      <c r="L28">
        <v>3665.2837943231425</v>
      </c>
      <c r="M28" s="3">
        <v>3477.1245745404985</v>
      </c>
      <c r="N28">
        <f>N$26*Tabella33[[#This Row],[2031%]]</f>
        <v>3420.7495547991775</v>
      </c>
      <c r="O28">
        <f>O$26*Tabella33[[#This Row],[2032%]]</f>
        <v>3364.3745350578565</v>
      </c>
      <c r="P28">
        <f>P$26*Tabella33[[#This Row],[2033%]]</f>
        <v>3307.9995153165355</v>
      </c>
      <c r="Q28">
        <f>Q$26*Tabella33[[#This Row],[2034%]]</f>
        <v>3251.6244955752145</v>
      </c>
      <c r="R28">
        <f>R$26*Tabella33[[#This Row],[2035%]]</f>
        <v>3195.2494758338935</v>
      </c>
      <c r="S28">
        <f>S$26*Tabella33[[#This Row],[2036%]]</f>
        <v>3138.8744560925725</v>
      </c>
      <c r="T28">
        <f>T$26*Tabella33[[#This Row],[2037%]]</f>
        <v>3082.4994363512515</v>
      </c>
      <c r="U28">
        <f>U$26*Tabella33[[#This Row],[2038%]]</f>
        <v>3026.1244166099304</v>
      </c>
      <c r="V28">
        <f>V$26*Tabella33[[#This Row],[2039%]]</f>
        <v>2969.7493968686094</v>
      </c>
      <c r="W28">
        <f>W$26*Tabella33[[#This Row],[2040%]]</f>
        <v>2913.3743771272884</v>
      </c>
      <c r="X28">
        <f>X$26*Tabella33[[#This Row],[2041%]]</f>
        <v>2913.3743771272884</v>
      </c>
      <c r="Y28">
        <f>Y$26*Tabella33[[#This Row],[2042%]]</f>
        <v>2913.3743771272884</v>
      </c>
      <c r="Z28">
        <f>Z$26*Tabella33[[#This Row],[2043%]]</f>
        <v>2913.3743771272884</v>
      </c>
      <c r="AA28">
        <f>AA$26*Tabella33[[#This Row],[2044%]]</f>
        <v>2913.3743771272884</v>
      </c>
      <c r="AB28">
        <f>AB$26*Tabella33[[#This Row],[2045%]]</f>
        <v>2913.3743771272884</v>
      </c>
      <c r="AC28">
        <v>3.1143827859569689E-2</v>
      </c>
      <c r="AD28">
        <v>3.0586731058964235E-2</v>
      </c>
      <c r="AE28">
        <v>3.0009382493443912E-2</v>
      </c>
      <c r="AF28">
        <v>2.9410657421358236E-2</v>
      </c>
      <c r="AG28">
        <v>2.8789346242291208E-2</v>
      </c>
      <c r="AH28">
        <v>2.8144146340248744E-2</v>
      </c>
      <c r="AI28">
        <v>2.7473652967542918E-2</v>
      </c>
      <c r="AJ28">
        <v>2.6776349035116557E-2</v>
      </c>
      <c r="AK28">
        <v>2.6050593653139918E-2</v>
      </c>
      <c r="AL28">
        <v>2.5294609239692414E-2</v>
      </c>
      <c r="AM28">
        <v>2.4506466984343053E-2</v>
      </c>
      <c r="AN28">
        <v>2.4506466984343053E-2</v>
      </c>
      <c r="AO28">
        <v>2.4506466984343053E-2</v>
      </c>
      <c r="AP28">
        <v>2.4506466984343053E-2</v>
      </c>
      <c r="AQ28">
        <v>2.4506466984343053E-2</v>
      </c>
      <c r="AR28">
        <v>2.4506466984343053E-2</v>
      </c>
      <c r="AS28">
        <v>2.4506466984343053E-2</v>
      </c>
      <c r="AT28">
        <v>2.4506466984343053E-2</v>
      </c>
      <c r="AU28">
        <v>2.4506466984343053E-2</v>
      </c>
      <c r="AV28">
        <v>2.4506466984343053E-2</v>
      </c>
      <c r="AW28">
        <v>2.4506466984343053E-2</v>
      </c>
      <c r="AX28">
        <v>2.4506466984343053E-2</v>
      </c>
      <c r="AY28">
        <v>2.4506466984343053E-2</v>
      </c>
      <c r="AZ28">
        <v>2.4506466984343053E-2</v>
      </c>
      <c r="BA28">
        <v>2.4506466984343053E-2</v>
      </c>
      <c r="BB28">
        <v>2.4506466984343053E-2</v>
      </c>
    </row>
    <row r="29" spans="2:54" x14ac:dyDescent="0.35">
      <c r="B29" t="s">
        <v>11</v>
      </c>
      <c r="C29" s="3">
        <v>81062.770083805226</v>
      </c>
      <c r="D29">
        <v>80190.843926343689</v>
      </c>
      <c r="E29">
        <v>79318.917768882151</v>
      </c>
      <c r="F29">
        <v>78446.991611420613</v>
      </c>
      <c r="G29">
        <v>77575.065453959076</v>
      </c>
      <c r="H29" s="3">
        <v>76703.139296497538</v>
      </c>
      <c r="I29">
        <v>75831.213139036001</v>
      </c>
      <c r="J29">
        <v>74959.286981574463</v>
      </c>
      <c r="K29">
        <v>74087.360824112926</v>
      </c>
      <c r="L29">
        <v>73215.434666651388</v>
      </c>
      <c r="M29" s="3">
        <v>72343.508509189924</v>
      </c>
      <c r="N29">
        <f>N$26*Tabella33[[#This Row],[2031%]]</f>
        <v>71170.594904016325</v>
      </c>
      <c r="O29">
        <f>O$26*Tabella33[[#This Row],[2032%]]</f>
        <v>69997.681298842741</v>
      </c>
      <c r="P29">
        <f>P$26*Tabella33[[#This Row],[2033%]]</f>
        <v>68824.767693669142</v>
      </c>
      <c r="Q29">
        <f>Q$26*Tabella33[[#This Row],[2034%]]</f>
        <v>67651.854088495544</v>
      </c>
      <c r="R29">
        <f>R$26*Tabella33[[#This Row],[2035%]]</f>
        <v>66478.940483321945</v>
      </c>
      <c r="S29">
        <f>S$26*Tabella33[[#This Row],[2036%]]</f>
        <v>65306.026878148346</v>
      </c>
      <c r="T29">
        <f>T$26*Tabella33[[#This Row],[2037%]]</f>
        <v>64133.113272974748</v>
      </c>
      <c r="U29">
        <f>U$26*Tabella33[[#This Row],[2038%]]</f>
        <v>62960.199667801149</v>
      </c>
      <c r="V29">
        <f>V$26*Tabella33[[#This Row],[2039%]]</f>
        <v>61787.286062627551</v>
      </c>
      <c r="W29">
        <f>W$26*Tabella33[[#This Row],[2040%]]</f>
        <v>60614.372457453959</v>
      </c>
      <c r="X29">
        <f>X$26*Tabella33[[#This Row],[2041%]]</f>
        <v>60614.372457453959</v>
      </c>
      <c r="Y29">
        <f>Y$26*Tabella33[[#This Row],[2042%]]</f>
        <v>60614.372457453959</v>
      </c>
      <c r="Z29">
        <f>Z$26*Tabella33[[#This Row],[2043%]]</f>
        <v>60614.372457453959</v>
      </c>
      <c r="AA29">
        <f>AA$26*Tabella33[[#This Row],[2044%]]</f>
        <v>60614.372457453959</v>
      </c>
      <c r="AB29">
        <f>AB$26*Tabella33[[#This Row],[2045%]]</f>
        <v>60614.372457453959</v>
      </c>
      <c r="AC29">
        <v>0.4711211778029446</v>
      </c>
      <c r="AD29">
        <v>0.47437355674351389</v>
      </c>
      <c r="AE29">
        <v>0.47774416722597474</v>
      </c>
      <c r="AF29">
        <v>0.48123957558862551</v>
      </c>
      <c r="AG29">
        <v>0.48486684358252119</v>
      </c>
      <c r="AH29">
        <v>0.48863357599164592</v>
      </c>
      <c r="AI29">
        <v>0.49254797385357885</v>
      </c>
      <c r="AJ29">
        <v>0.49661889406445581</v>
      </c>
      <c r="AK29">
        <v>0.5008559162799493</v>
      </c>
      <c r="AL29">
        <v>0.50526941817589099</v>
      </c>
      <c r="AM29">
        <v>0.50987066031313821</v>
      </c>
      <c r="AN29">
        <v>0.50987066031313821</v>
      </c>
      <c r="AO29">
        <v>0.50987066031313821</v>
      </c>
      <c r="AP29">
        <v>0.50987066031313821</v>
      </c>
      <c r="AQ29">
        <v>0.50987066031313821</v>
      </c>
      <c r="AR29">
        <v>0.50987066031313821</v>
      </c>
      <c r="AS29">
        <v>0.50987066031313821</v>
      </c>
      <c r="AT29">
        <v>0.50987066031313821</v>
      </c>
      <c r="AU29">
        <v>0.50987066031313821</v>
      </c>
      <c r="AV29">
        <v>0.50987066031313821</v>
      </c>
      <c r="AW29">
        <v>0.50987066031313821</v>
      </c>
      <c r="AX29">
        <v>0.50987066031313821</v>
      </c>
      <c r="AY29">
        <v>0.50987066031313821</v>
      </c>
      <c r="AZ29">
        <v>0.50987066031313821</v>
      </c>
      <c r="BA29">
        <v>0.50987066031313821</v>
      </c>
      <c r="BB29">
        <v>0.50987066031313821</v>
      </c>
    </row>
    <row r="30" spans="2:54" x14ac:dyDescent="0.35">
      <c r="B30" t="s">
        <v>9</v>
      </c>
      <c r="C30" s="3">
        <v>60991.93999093998</v>
      </c>
      <c r="D30">
        <v>58282.942452022973</v>
      </c>
      <c r="E30">
        <v>55573.944913105966</v>
      </c>
      <c r="F30">
        <v>52864.94737418896</v>
      </c>
      <c r="G30">
        <v>50155.949835271953</v>
      </c>
      <c r="H30" s="3">
        <v>47446.952296354946</v>
      </c>
      <c r="I30">
        <v>44737.954757437939</v>
      </c>
      <c r="J30">
        <v>42028.957218520933</v>
      </c>
      <c r="K30">
        <v>39319.959679603926</v>
      </c>
      <c r="L30">
        <v>36610.962140686919</v>
      </c>
      <c r="M30" s="3">
        <v>33901.964601769912</v>
      </c>
      <c r="N30">
        <f>N$26*Tabella33[[#This Row],[2031%]]</f>
        <v>33352.308159292035</v>
      </c>
      <c r="O30">
        <f>O$26*Tabella33[[#This Row],[2032%]]</f>
        <v>32802.651716814151</v>
      </c>
      <c r="P30">
        <f>P$26*Tabella33[[#This Row],[2033%]]</f>
        <v>32252.99527433627</v>
      </c>
      <c r="Q30">
        <f>Q$26*Tabella33[[#This Row],[2034%]]</f>
        <v>31703.338831858389</v>
      </c>
      <c r="R30">
        <f>R$26*Tabella33[[#This Row],[2035%]]</f>
        <v>31153.682389380509</v>
      </c>
      <c r="S30">
        <f>S$26*Tabella33[[#This Row],[2036%]]</f>
        <v>30604.025946902628</v>
      </c>
      <c r="T30">
        <f>T$26*Tabella33[[#This Row],[2037%]]</f>
        <v>30054.369504424747</v>
      </c>
      <c r="U30">
        <f>U$26*Tabella33[[#This Row],[2038%]]</f>
        <v>29504.713061946866</v>
      </c>
      <c r="V30">
        <f>V$26*Tabella33[[#This Row],[2039%]]</f>
        <v>28955.056619468989</v>
      </c>
      <c r="W30">
        <f>W$26*Tabella33[[#This Row],[2040%]]</f>
        <v>28405.400176991108</v>
      </c>
      <c r="X30">
        <f>X$26*Tabella33[[#This Row],[2041%]]</f>
        <v>28405.400176991108</v>
      </c>
      <c r="Y30">
        <f>Y$26*Tabella33[[#This Row],[2042%]]</f>
        <v>28405.400176991108</v>
      </c>
      <c r="Z30">
        <f>Z$26*Tabella33[[#This Row],[2043%]]</f>
        <v>28405.400176991108</v>
      </c>
      <c r="AA30">
        <f>AA$26*Tabella33[[#This Row],[2044%]]</f>
        <v>28405.400176991108</v>
      </c>
      <c r="AB30">
        <f>AB$26*Tabella33[[#This Row],[2045%]]</f>
        <v>28405.400176991108</v>
      </c>
      <c r="AC30">
        <v>0.35447338618346547</v>
      </c>
      <c r="AD30">
        <v>0.3447761035391847</v>
      </c>
      <c r="AE30">
        <v>0.33472630210784304</v>
      </c>
      <c r="AF30">
        <v>0.32430440371617719</v>
      </c>
      <c r="AG30">
        <v>0.31348935306983305</v>
      </c>
      <c r="AH30">
        <v>0.30225847576921278</v>
      </c>
      <c r="AI30">
        <v>0.29058731962690665</v>
      </c>
      <c r="AJ30">
        <v>0.27844947694973105</v>
      </c>
      <c r="AK30">
        <v>0.26581638506697991</v>
      </c>
      <c r="AL30">
        <v>0.25265710193359292</v>
      </c>
      <c r="AM30">
        <v>0.23893805309734514</v>
      </c>
      <c r="AN30">
        <v>0.23893805309734514</v>
      </c>
      <c r="AO30">
        <v>0.23893805309734514</v>
      </c>
      <c r="AP30">
        <v>0.23893805309734514</v>
      </c>
      <c r="AQ30">
        <v>0.23893805309734514</v>
      </c>
      <c r="AR30">
        <v>0.23893805309734514</v>
      </c>
      <c r="AS30">
        <v>0.23893805309734514</v>
      </c>
      <c r="AT30">
        <v>0.23893805309734514</v>
      </c>
      <c r="AU30">
        <v>0.23893805309734514</v>
      </c>
      <c r="AV30">
        <v>0.23893805309734514</v>
      </c>
      <c r="AW30">
        <v>0.23893805309734514</v>
      </c>
      <c r="AX30">
        <v>0.23893805309734514</v>
      </c>
      <c r="AY30">
        <v>0.23893805309734514</v>
      </c>
      <c r="AZ30">
        <v>0.23893805309734514</v>
      </c>
      <c r="BA30">
        <v>0.23893805309734514</v>
      </c>
      <c r="BB30">
        <v>0.23893805309734514</v>
      </c>
    </row>
    <row r="31" spans="2:54" x14ac:dyDescent="0.35">
      <c r="B31" t="s">
        <v>10</v>
      </c>
      <c r="C31" s="3">
        <v>21824.59194563987</v>
      </c>
      <c r="D31">
        <v>21390.35371771986</v>
      </c>
      <c r="E31">
        <v>20956.115489799849</v>
      </c>
      <c r="F31">
        <v>20521.877261879839</v>
      </c>
      <c r="G31">
        <v>20087.639033959829</v>
      </c>
      <c r="H31" s="3">
        <v>19653.400806039819</v>
      </c>
      <c r="I31">
        <v>19219.162578119809</v>
      </c>
      <c r="J31">
        <v>18784.924350199799</v>
      </c>
      <c r="K31">
        <v>18350.686122279789</v>
      </c>
      <c r="L31">
        <v>17916.447894359779</v>
      </c>
      <c r="M31" s="3">
        <v>17482.209666439754</v>
      </c>
      <c r="N31">
        <f>N$26*Tabella33[[#This Row],[2031%]]</f>
        <v>17198.768594962556</v>
      </c>
      <c r="O31">
        <f>O$26*Tabella33[[#This Row],[2032%]]</f>
        <v>16915.327523485357</v>
      </c>
      <c r="P31">
        <f>P$26*Tabella33[[#This Row],[2033%]]</f>
        <v>16631.886452008162</v>
      </c>
      <c r="Q31">
        <f>Q$26*Tabella33[[#This Row],[2034%]]</f>
        <v>16348.445380530964</v>
      </c>
      <c r="R31">
        <f>R$26*Tabella33[[#This Row],[2035%]]</f>
        <v>16065.004309053766</v>
      </c>
      <c r="S31">
        <f>S$26*Tabella33[[#This Row],[2036%]]</f>
        <v>15781.563237576569</v>
      </c>
      <c r="T31">
        <f>T$26*Tabella33[[#This Row],[2037%]]</f>
        <v>15498.122166099371</v>
      </c>
      <c r="U31">
        <f>U$26*Tabella33[[#This Row],[2038%]]</f>
        <v>15214.681094622172</v>
      </c>
      <c r="V31">
        <f>V$26*Tabella33[[#This Row],[2039%]]</f>
        <v>14931.240023144976</v>
      </c>
      <c r="W31">
        <f>W$26*Tabella33[[#This Row],[2040%]]</f>
        <v>14647.798951667777</v>
      </c>
      <c r="X31">
        <f>X$26*Tabella33[[#This Row],[2041%]]</f>
        <v>14647.798951667777</v>
      </c>
      <c r="Y31">
        <f>Y$26*Tabella33[[#This Row],[2042%]]</f>
        <v>14647.798951667777</v>
      </c>
      <c r="Z31">
        <f>Z$26*Tabella33[[#This Row],[2043%]]</f>
        <v>14647.798951667777</v>
      </c>
      <c r="AA31">
        <f>AA$26*Tabella33[[#This Row],[2044%]]</f>
        <v>14647.798951667777</v>
      </c>
      <c r="AB31">
        <f>AB$26*Tabella33[[#This Row],[2045%]]</f>
        <v>14647.798951667777</v>
      </c>
      <c r="AC31">
        <v>0.12684031710079277</v>
      </c>
      <c r="AD31">
        <v>0.12653586963614924</v>
      </c>
      <c r="AE31">
        <v>0.12622035479779939</v>
      </c>
      <c r="AF31">
        <v>0.12589315792641742</v>
      </c>
      <c r="AG31">
        <v>0.1255536179882665</v>
      </c>
      <c r="AH31">
        <v>0.12520102311758763</v>
      </c>
      <c r="AI31">
        <v>0.12483460563473953</v>
      </c>
      <c r="AJ31">
        <v>0.12445353646671978</v>
      </c>
      <c r="AK31">
        <v>0.12405691888472314</v>
      </c>
      <c r="AL31">
        <v>0.12364378145917342</v>
      </c>
      <c r="AM31">
        <v>0.12321307011572498</v>
      </c>
      <c r="AN31">
        <v>0.12321307011572498</v>
      </c>
      <c r="AO31">
        <v>0.12321307011572498</v>
      </c>
      <c r="AP31">
        <v>0.12321307011572498</v>
      </c>
      <c r="AQ31">
        <v>0.12321307011572498</v>
      </c>
      <c r="AR31">
        <v>0.12321307011572498</v>
      </c>
      <c r="AS31">
        <v>0.12321307011572498</v>
      </c>
      <c r="AT31">
        <v>0.12321307011572498</v>
      </c>
      <c r="AU31">
        <v>0.12321307011572498</v>
      </c>
      <c r="AV31">
        <v>0.12321307011572498</v>
      </c>
      <c r="AW31">
        <v>0.12321307011572498</v>
      </c>
      <c r="AX31">
        <v>0.12321307011572498</v>
      </c>
      <c r="AY31">
        <v>0.12321307011572498</v>
      </c>
      <c r="AZ31">
        <v>0.12321307011572498</v>
      </c>
      <c r="BA31">
        <v>0.12321307011572498</v>
      </c>
      <c r="BB31">
        <v>0.12321307011572498</v>
      </c>
    </row>
    <row r="33" spans="2:54" x14ac:dyDescent="0.35">
      <c r="B33" s="3" t="s">
        <v>53</v>
      </c>
      <c r="C33">
        <v>342052.6</v>
      </c>
      <c r="D33">
        <v>342052.6</v>
      </c>
      <c r="E33">
        <v>342052.59999999974</v>
      </c>
      <c r="F33">
        <v>342052.59999999974</v>
      </c>
      <c r="G33">
        <v>342052.59999999974</v>
      </c>
      <c r="H33">
        <v>342052.59999999974</v>
      </c>
      <c r="I33">
        <v>342052.59999999974</v>
      </c>
      <c r="J33">
        <v>342052.59999999974</v>
      </c>
      <c r="K33">
        <v>342052.59999999974</v>
      </c>
      <c r="L33">
        <v>342052.59999999974</v>
      </c>
      <c r="M33">
        <v>342052.59999999974</v>
      </c>
      <c r="N33">
        <v>342052.59999999974</v>
      </c>
      <c r="O33">
        <v>342052.59999999974</v>
      </c>
      <c r="P33">
        <v>342052.59999999974</v>
      </c>
      <c r="Q33">
        <v>342052.59999999974</v>
      </c>
      <c r="R33">
        <v>342052.59999999974</v>
      </c>
      <c r="S33">
        <v>342052.59999999974</v>
      </c>
      <c r="T33">
        <v>342052.59999999974</v>
      </c>
      <c r="U33">
        <v>342052.59999999974</v>
      </c>
      <c r="V33">
        <v>342052.59999999974</v>
      </c>
      <c r="W33">
        <v>342052.59999999974</v>
      </c>
      <c r="X33">
        <v>342052.59999999974</v>
      </c>
      <c r="Y33">
        <v>342052.59999999974</v>
      </c>
      <c r="Z33">
        <v>342052.59999999974</v>
      </c>
      <c r="AA33">
        <v>342052.59999999974</v>
      </c>
      <c r="AB33">
        <v>342052.59999999974</v>
      </c>
      <c r="AC33">
        <f>SUM(AC34:AC38)</f>
        <v>1</v>
      </c>
      <c r="AD33">
        <f t="shared" ref="AD33:BB33" si="0">SUM(AD34:AD38)</f>
        <v>1</v>
      </c>
      <c r="AE33">
        <f t="shared" si="0"/>
        <v>1</v>
      </c>
      <c r="AF33">
        <f t="shared" si="0"/>
        <v>1</v>
      </c>
      <c r="AG33">
        <f t="shared" si="0"/>
        <v>1</v>
      </c>
      <c r="AH33">
        <f t="shared" si="0"/>
        <v>1</v>
      </c>
      <c r="AI33">
        <f t="shared" si="0"/>
        <v>1</v>
      </c>
      <c r="AJ33">
        <f t="shared" si="0"/>
        <v>1</v>
      </c>
      <c r="AK33">
        <f t="shared" si="0"/>
        <v>1</v>
      </c>
      <c r="AL33">
        <f t="shared" si="0"/>
        <v>1</v>
      </c>
      <c r="AM33">
        <f t="shared" si="0"/>
        <v>1</v>
      </c>
      <c r="AN33">
        <f t="shared" si="0"/>
        <v>1</v>
      </c>
      <c r="AO33">
        <f t="shared" si="0"/>
        <v>1</v>
      </c>
      <c r="AP33">
        <f t="shared" si="0"/>
        <v>1</v>
      </c>
      <c r="AQ33">
        <f t="shared" si="0"/>
        <v>1</v>
      </c>
      <c r="AR33">
        <f t="shared" si="0"/>
        <v>1</v>
      </c>
      <c r="AS33">
        <f t="shared" si="0"/>
        <v>1</v>
      </c>
      <c r="AT33">
        <f t="shared" si="0"/>
        <v>1</v>
      </c>
      <c r="AU33">
        <f t="shared" si="0"/>
        <v>1</v>
      </c>
      <c r="AV33">
        <f t="shared" si="0"/>
        <v>1</v>
      </c>
      <c r="AW33">
        <f t="shared" si="0"/>
        <v>1</v>
      </c>
      <c r="AX33">
        <f t="shared" si="0"/>
        <v>1</v>
      </c>
      <c r="AY33">
        <f t="shared" si="0"/>
        <v>1</v>
      </c>
      <c r="AZ33">
        <f t="shared" si="0"/>
        <v>1</v>
      </c>
      <c r="BA33">
        <f t="shared" si="0"/>
        <v>1</v>
      </c>
      <c r="BB33">
        <f t="shared" si="0"/>
        <v>1</v>
      </c>
    </row>
    <row r="34" spans="2:54" x14ac:dyDescent="0.35">
      <c r="B34" s="40" t="s">
        <v>11</v>
      </c>
      <c r="C34">
        <f>C$33*Tabella33[[#This Row],[2020%]]</f>
        <v>5833.7017054984371</v>
      </c>
      <c r="D34">
        <f>D$33*Tabella33[[#This Row],[2021%]]</f>
        <v>5833.7017054984371</v>
      </c>
      <c r="E34">
        <f>E$33*Tabella33[[#This Row],[2022%]]</f>
        <v>5833.7017054984326</v>
      </c>
      <c r="F34">
        <f>F$33*Tabella33[[#This Row],[2023%]]</f>
        <v>5833.7017054984326</v>
      </c>
      <c r="G34">
        <f>G$33*Tabella33[[#This Row],[2024%]]</f>
        <v>5833.7017054984326</v>
      </c>
      <c r="H34">
        <f>H$33*Tabella33[[#This Row],[2025%]]</f>
        <v>5833.7017054984326</v>
      </c>
      <c r="I34">
        <f>I$33*Tabella33[[#This Row],[2026%]]</f>
        <v>5833.7017054984326</v>
      </c>
      <c r="J34">
        <f>J$33*Tabella33[[#This Row],[2027%]]</f>
        <v>5833.7017054984326</v>
      </c>
      <c r="K34">
        <f>K$33*Tabella33[[#This Row],[2028%]]</f>
        <v>5833.7017054984326</v>
      </c>
      <c r="L34">
        <f>L$33*Tabella33[[#This Row],[2029%]]</f>
        <v>5833.7017054984326</v>
      </c>
      <c r="M34">
        <f>M$33*Tabella33[[#This Row],[2030%]]</f>
        <v>5833.7017054984326</v>
      </c>
      <c r="N34">
        <f>N$33*Tabella33[[#This Row],[2031%]]</f>
        <v>5833.7017054984326</v>
      </c>
      <c r="O34">
        <f>O$33*Tabella33[[#This Row],[2032%]]</f>
        <v>5833.7017054984326</v>
      </c>
      <c r="P34">
        <f>P$33*Tabella33[[#This Row],[2033%]]</f>
        <v>5833.7017054984326</v>
      </c>
      <c r="Q34">
        <f>Q$33*Tabella33[[#This Row],[2034%]]</f>
        <v>5833.7017054984326</v>
      </c>
      <c r="R34">
        <f>R$33*Tabella33[[#This Row],[2035%]]</f>
        <v>5833.7017054984326</v>
      </c>
      <c r="S34">
        <f>S$33*Tabella33[[#This Row],[2036%]]</f>
        <v>5833.7017054984326</v>
      </c>
      <c r="T34">
        <f>T$33*Tabella33[[#This Row],[2037%]]</f>
        <v>5833.7017054984326</v>
      </c>
      <c r="U34">
        <f>U$33*Tabella33[[#This Row],[2038%]]</f>
        <v>5833.7017054984326</v>
      </c>
      <c r="V34">
        <f>V$33*Tabella33[[#This Row],[2039%]]</f>
        <v>5833.7017054984326</v>
      </c>
      <c r="W34">
        <f>W$33*Tabella33[[#This Row],[2040%]]</f>
        <v>5833.7017054984326</v>
      </c>
      <c r="X34">
        <f>X$33*Tabella33[[#This Row],[2041%]]</f>
        <v>5833.7017054984326</v>
      </c>
      <c r="Y34">
        <f>Y$33*Tabella33[[#This Row],[2042%]]</f>
        <v>5833.7017054984326</v>
      </c>
      <c r="Z34">
        <f>Z$33*Tabella33[[#This Row],[2043%]]</f>
        <v>5833.7017054984326</v>
      </c>
      <c r="AA34">
        <f>AA$33*Tabella33[[#This Row],[2044%]]</f>
        <v>5833.7017054984326</v>
      </c>
      <c r="AB34">
        <f>AB$33*Tabella33[[#This Row],[2045%]]</f>
        <v>5833.7017054984326</v>
      </c>
      <c r="AC34">
        <v>1.70549842494939E-2</v>
      </c>
      <c r="AD34">
        <v>1.70549842494939E-2</v>
      </c>
      <c r="AE34">
        <v>1.70549842494939E-2</v>
      </c>
      <c r="AF34">
        <v>1.70549842494939E-2</v>
      </c>
      <c r="AG34">
        <v>1.70549842494939E-2</v>
      </c>
      <c r="AH34">
        <v>1.70549842494939E-2</v>
      </c>
      <c r="AI34">
        <v>1.70549842494939E-2</v>
      </c>
      <c r="AJ34">
        <v>1.70549842494939E-2</v>
      </c>
      <c r="AK34">
        <v>1.70549842494939E-2</v>
      </c>
      <c r="AL34">
        <v>1.70549842494939E-2</v>
      </c>
      <c r="AM34">
        <v>1.70549842494939E-2</v>
      </c>
      <c r="AN34">
        <v>1.70549842494939E-2</v>
      </c>
      <c r="AO34">
        <v>1.70549842494939E-2</v>
      </c>
      <c r="AP34">
        <v>1.70549842494939E-2</v>
      </c>
      <c r="AQ34">
        <v>1.70549842494939E-2</v>
      </c>
      <c r="AR34">
        <v>1.70549842494939E-2</v>
      </c>
      <c r="AS34">
        <v>1.70549842494939E-2</v>
      </c>
      <c r="AT34">
        <v>1.70549842494939E-2</v>
      </c>
      <c r="AU34">
        <v>1.70549842494939E-2</v>
      </c>
      <c r="AV34">
        <v>1.70549842494939E-2</v>
      </c>
      <c r="AW34">
        <v>1.70549842494939E-2</v>
      </c>
      <c r="AX34">
        <v>1.70549842494939E-2</v>
      </c>
      <c r="AY34">
        <v>1.70549842494939E-2</v>
      </c>
      <c r="AZ34">
        <v>1.70549842494939E-2</v>
      </c>
      <c r="BA34">
        <v>1.70549842494939E-2</v>
      </c>
      <c r="BB34">
        <v>1.70549842494939E-2</v>
      </c>
    </row>
    <row r="35" spans="2:54" x14ac:dyDescent="0.35">
      <c r="B35" s="40" t="s">
        <v>13</v>
      </c>
      <c r="C35">
        <f>C$33*Tabella33[[#This Row],[2020%]]</f>
        <v>3336.5009754350572</v>
      </c>
      <c r="D35">
        <f>D$33*Tabella33[[#This Row],[2021%]]</f>
        <v>3336.5009754350572</v>
      </c>
      <c r="E35">
        <f>E$33*Tabella33[[#This Row],[2022%]]</f>
        <v>3336.5009754350549</v>
      </c>
      <c r="F35">
        <f>F$33*Tabella33[[#This Row],[2023%]]</f>
        <v>3336.5009754350549</v>
      </c>
      <c r="G35">
        <f>G$33*Tabella33[[#This Row],[2024%]]</f>
        <v>3336.5009754350549</v>
      </c>
      <c r="H35">
        <f>H$33*Tabella33[[#This Row],[2025%]]</f>
        <v>3336.5009754350549</v>
      </c>
      <c r="I35">
        <f>I$33*Tabella33[[#This Row],[2026%]]</f>
        <v>3336.5009754350549</v>
      </c>
      <c r="J35">
        <f>J$33*Tabella33[[#This Row],[2027%]]</f>
        <v>3336.5009754350549</v>
      </c>
      <c r="K35">
        <f>K$33*Tabella33[[#This Row],[2028%]]</f>
        <v>3336.5009754350549</v>
      </c>
      <c r="L35">
        <f>L$33*Tabella33[[#This Row],[2029%]]</f>
        <v>3336.5009754350549</v>
      </c>
      <c r="M35">
        <f>M$33*Tabella33[[#This Row],[2030%]]</f>
        <v>3336.5009754350549</v>
      </c>
      <c r="N35">
        <f>N$33*Tabella33[[#This Row],[2031%]]</f>
        <v>3336.5009754350549</v>
      </c>
      <c r="O35">
        <f>O$33*Tabella33[[#This Row],[2032%]]</f>
        <v>3336.5009754350549</v>
      </c>
      <c r="P35">
        <f>P$33*Tabella33[[#This Row],[2033%]]</f>
        <v>3336.5009754350549</v>
      </c>
      <c r="Q35">
        <f>Q$33*Tabella33[[#This Row],[2034%]]</f>
        <v>3336.5009754350549</v>
      </c>
      <c r="R35">
        <f>R$33*Tabella33[[#This Row],[2035%]]</f>
        <v>3336.5009754350549</v>
      </c>
      <c r="S35">
        <f>S$33*Tabella33[[#This Row],[2036%]]</f>
        <v>3336.5009754350549</v>
      </c>
      <c r="T35">
        <f>T$33*Tabella33[[#This Row],[2037%]]</f>
        <v>3336.5009754350549</v>
      </c>
      <c r="U35">
        <f>U$33*Tabella33[[#This Row],[2038%]]</f>
        <v>3336.5009754350549</v>
      </c>
      <c r="V35">
        <f>V$33*Tabella33[[#This Row],[2039%]]</f>
        <v>3336.5009754350549</v>
      </c>
      <c r="W35">
        <f>W$33*Tabella33[[#This Row],[2040%]]</f>
        <v>3336.5009754350549</v>
      </c>
      <c r="X35">
        <f>X$33*Tabella33[[#This Row],[2041%]]</f>
        <v>3336.5009754350549</v>
      </c>
      <c r="Y35">
        <f>Y$33*Tabella33[[#This Row],[2042%]]</f>
        <v>3336.5009754350549</v>
      </c>
      <c r="Z35">
        <f>Z$33*Tabella33[[#This Row],[2043%]]</f>
        <v>3336.5009754350549</v>
      </c>
      <c r="AA35">
        <f>AA$33*Tabella33[[#This Row],[2044%]]</f>
        <v>3336.5009754350549</v>
      </c>
      <c r="AB35">
        <f>AB$33*Tabella33[[#This Row],[2045%]]</f>
        <v>3336.5009754350549</v>
      </c>
      <c r="AC35">
        <v>9.7543505748386578E-3</v>
      </c>
      <c r="AD35">
        <v>9.7543505748386578E-3</v>
      </c>
      <c r="AE35">
        <v>9.7543505748386578E-3</v>
      </c>
      <c r="AF35">
        <v>9.7543505748386578E-3</v>
      </c>
      <c r="AG35">
        <v>9.7543505748386578E-3</v>
      </c>
      <c r="AH35">
        <v>9.7543505748386578E-3</v>
      </c>
      <c r="AI35">
        <v>9.7543505748386578E-3</v>
      </c>
      <c r="AJ35">
        <v>9.7543505748386578E-3</v>
      </c>
      <c r="AK35">
        <v>9.7543505748386578E-3</v>
      </c>
      <c r="AL35">
        <v>9.7543505748386578E-3</v>
      </c>
      <c r="AM35">
        <v>9.7543505748386578E-3</v>
      </c>
      <c r="AN35">
        <v>9.7543505748386578E-3</v>
      </c>
      <c r="AO35">
        <v>9.7543505748386578E-3</v>
      </c>
      <c r="AP35">
        <v>9.7543505748386578E-3</v>
      </c>
      <c r="AQ35">
        <v>9.7543505748386578E-3</v>
      </c>
      <c r="AR35">
        <v>9.7543505748386578E-3</v>
      </c>
      <c r="AS35">
        <v>9.7543505748386578E-3</v>
      </c>
      <c r="AT35">
        <v>9.7543505748386578E-3</v>
      </c>
      <c r="AU35">
        <v>9.7543505748386578E-3</v>
      </c>
      <c r="AV35">
        <v>9.7543505748386578E-3</v>
      </c>
      <c r="AW35">
        <v>9.7543505748386578E-3</v>
      </c>
      <c r="AX35">
        <v>9.7543505748386578E-3</v>
      </c>
      <c r="AY35">
        <v>9.7543505748386578E-3</v>
      </c>
      <c r="AZ35">
        <v>9.7543505748386578E-3</v>
      </c>
      <c r="BA35">
        <v>9.7543505748386578E-3</v>
      </c>
      <c r="BB35">
        <v>9.7543505748386578E-3</v>
      </c>
    </row>
    <row r="36" spans="2:54" x14ac:dyDescent="0.35">
      <c r="B36" s="40" t="s">
        <v>10</v>
      </c>
      <c r="C36">
        <f>C$33*Tabella33[[#This Row],[2020%]]</f>
        <v>327449.39573071379</v>
      </c>
      <c r="D36">
        <f>D$33*Tabella33[[#This Row],[2021%]]</f>
        <v>327449.39573071379</v>
      </c>
      <c r="E36">
        <f>E$33*Tabella33[[#This Row],[2022%]]</f>
        <v>327449.39573071356</v>
      </c>
      <c r="F36">
        <f>F$33*Tabella33[[#This Row],[2023%]]</f>
        <v>327449.39573071356</v>
      </c>
      <c r="G36">
        <f>G$33*Tabella33[[#This Row],[2024%]]</f>
        <v>327449.39573071356</v>
      </c>
      <c r="H36">
        <f>H$33*Tabella33[[#This Row],[2025%]]</f>
        <v>327449.39573071356</v>
      </c>
      <c r="I36">
        <f>I$33*Tabella33[[#This Row],[2026%]]</f>
        <v>327449.39573071356</v>
      </c>
      <c r="J36">
        <f>J$33*Tabella33[[#This Row],[2027%]]</f>
        <v>327449.39573071356</v>
      </c>
      <c r="K36">
        <f>K$33*Tabella33[[#This Row],[2028%]]</f>
        <v>327449.39573071356</v>
      </c>
      <c r="L36">
        <f>L$33*Tabella33[[#This Row],[2029%]]</f>
        <v>327449.39573071356</v>
      </c>
      <c r="M36">
        <f>M$33*Tabella33[[#This Row],[2030%]]</f>
        <v>327449.39573071356</v>
      </c>
      <c r="N36">
        <f>N$33*Tabella33[[#This Row],[2031%]]</f>
        <v>327449.39573071356</v>
      </c>
      <c r="O36">
        <f>O$33*Tabella33[[#This Row],[2032%]]</f>
        <v>327449.39573071356</v>
      </c>
      <c r="P36">
        <f>P$33*Tabella33[[#This Row],[2033%]]</f>
        <v>327449.39573071356</v>
      </c>
      <c r="Q36">
        <f>Q$33*Tabella33[[#This Row],[2034%]]</f>
        <v>327449.39573071356</v>
      </c>
      <c r="R36">
        <f>R$33*Tabella33[[#This Row],[2035%]]</f>
        <v>327449.39573071356</v>
      </c>
      <c r="S36">
        <f>S$33*Tabella33[[#This Row],[2036%]]</f>
        <v>327449.39573071356</v>
      </c>
      <c r="T36">
        <f>T$33*Tabella33[[#This Row],[2037%]]</f>
        <v>327449.39573071356</v>
      </c>
      <c r="U36">
        <f>U$33*Tabella33[[#This Row],[2038%]]</f>
        <v>327449.39573071356</v>
      </c>
      <c r="V36">
        <f>V$33*Tabella33[[#This Row],[2039%]]</f>
        <v>327449.39573071356</v>
      </c>
      <c r="W36">
        <f>W$33*Tabella33[[#This Row],[2040%]]</f>
        <v>327449.39573071356</v>
      </c>
      <c r="X36">
        <f>X$33*Tabella33[[#This Row],[2041%]]</f>
        <v>327449.39573071356</v>
      </c>
      <c r="Y36">
        <f>Y$33*Tabella33[[#This Row],[2042%]]</f>
        <v>327449.39573071356</v>
      </c>
      <c r="Z36">
        <f>Z$33*Tabella33[[#This Row],[2043%]]</f>
        <v>327449.39573071356</v>
      </c>
      <c r="AA36">
        <f>AA$33*Tabella33[[#This Row],[2044%]]</f>
        <v>327449.39573071356</v>
      </c>
      <c r="AB36">
        <f>AB$33*Tabella33[[#This Row],[2045%]]</f>
        <v>327449.39573071356</v>
      </c>
      <c r="AC36">
        <v>0.95730713852405691</v>
      </c>
      <c r="AD36">
        <v>0.95730713852405691</v>
      </c>
      <c r="AE36">
        <v>0.95730713852405691</v>
      </c>
      <c r="AF36">
        <v>0.95730713852405691</v>
      </c>
      <c r="AG36">
        <v>0.95730713852405691</v>
      </c>
      <c r="AH36">
        <v>0.95730713852405691</v>
      </c>
      <c r="AI36">
        <v>0.95730713852405691</v>
      </c>
      <c r="AJ36">
        <v>0.95730713852405691</v>
      </c>
      <c r="AK36">
        <v>0.95730713852405691</v>
      </c>
      <c r="AL36">
        <v>0.95730713852405691</v>
      </c>
      <c r="AM36">
        <v>0.95730713852405691</v>
      </c>
      <c r="AN36">
        <v>0.95730713852405691</v>
      </c>
      <c r="AO36">
        <v>0.95730713852405691</v>
      </c>
      <c r="AP36">
        <v>0.95730713852405691</v>
      </c>
      <c r="AQ36">
        <v>0.95730713852405691</v>
      </c>
      <c r="AR36">
        <v>0.95730713852405691</v>
      </c>
      <c r="AS36">
        <v>0.95730713852405691</v>
      </c>
      <c r="AT36">
        <v>0.95730713852405691</v>
      </c>
      <c r="AU36">
        <v>0.95730713852405691</v>
      </c>
      <c r="AV36">
        <v>0.95730713852405691</v>
      </c>
      <c r="AW36">
        <v>0.95730713852405691</v>
      </c>
      <c r="AX36">
        <v>0.95730713852405691</v>
      </c>
      <c r="AY36">
        <v>0.95730713852405691</v>
      </c>
      <c r="AZ36">
        <v>0.95730713852405691</v>
      </c>
      <c r="BA36">
        <v>0.95730713852405691</v>
      </c>
      <c r="BB36">
        <v>0.95730713852405691</v>
      </c>
    </row>
    <row r="37" spans="2:54" x14ac:dyDescent="0.35">
      <c r="B37" s="40" t="s">
        <v>14</v>
      </c>
      <c r="C37">
        <f>C$33*Tabella33[[#This Row],[2020%]]</f>
        <v>2333.200682117511</v>
      </c>
      <c r="D37">
        <f>D$33*Tabella33[[#This Row],[2021%]]</f>
        <v>2333.200682117511</v>
      </c>
      <c r="E37">
        <f>E$33*Tabella33[[#This Row],[2022%]]</f>
        <v>2333.2006821175091</v>
      </c>
      <c r="F37">
        <f>F$33*Tabella33[[#This Row],[2023%]]</f>
        <v>2333.2006821175091</v>
      </c>
      <c r="G37">
        <f>G$33*Tabella33[[#This Row],[2024%]]</f>
        <v>2333.2006821175091</v>
      </c>
      <c r="H37">
        <f>H$33*Tabella33[[#This Row],[2025%]]</f>
        <v>2333.2006821175091</v>
      </c>
      <c r="I37">
        <f>I$33*Tabella33[[#This Row],[2026%]]</f>
        <v>2333.2006821175091</v>
      </c>
      <c r="J37">
        <f>J$33*Tabella33[[#This Row],[2027%]]</f>
        <v>2333.2006821175091</v>
      </c>
      <c r="K37">
        <f>K$33*Tabella33[[#This Row],[2028%]]</f>
        <v>2333.2006821175091</v>
      </c>
      <c r="L37">
        <f>L$33*Tabella33[[#This Row],[2029%]]</f>
        <v>2333.2006821175091</v>
      </c>
      <c r="M37">
        <f>M$33*Tabella33[[#This Row],[2030%]]</f>
        <v>2333.2006821175091</v>
      </c>
      <c r="N37">
        <f>N$33*Tabella33[[#This Row],[2031%]]</f>
        <v>2333.2006821175091</v>
      </c>
      <c r="O37">
        <f>O$33*Tabella33[[#This Row],[2032%]]</f>
        <v>2333.2006821175091</v>
      </c>
      <c r="P37">
        <f>P$33*Tabella33[[#This Row],[2033%]]</f>
        <v>2333.2006821175091</v>
      </c>
      <c r="Q37">
        <f>Q$33*Tabella33[[#This Row],[2034%]]</f>
        <v>2333.2006821175091</v>
      </c>
      <c r="R37">
        <f>R$33*Tabella33[[#This Row],[2035%]]</f>
        <v>2333.2006821175091</v>
      </c>
      <c r="S37">
        <f>S$33*Tabella33[[#This Row],[2036%]]</f>
        <v>2333.2006821175091</v>
      </c>
      <c r="T37">
        <f>T$33*Tabella33[[#This Row],[2037%]]</f>
        <v>2333.2006821175091</v>
      </c>
      <c r="U37">
        <f>U$33*Tabella33[[#This Row],[2038%]]</f>
        <v>2333.2006821175091</v>
      </c>
      <c r="V37">
        <f>V$33*Tabella33[[#This Row],[2039%]]</f>
        <v>2333.2006821175091</v>
      </c>
      <c r="W37">
        <f>W$33*Tabella33[[#This Row],[2040%]]</f>
        <v>2333.2006821175091</v>
      </c>
      <c r="X37">
        <f>X$33*Tabella33[[#This Row],[2041%]]</f>
        <v>2333.2006821175091</v>
      </c>
      <c r="Y37">
        <f>Y$33*Tabella33[[#This Row],[2042%]]</f>
        <v>2333.2006821175091</v>
      </c>
      <c r="Z37">
        <f>Z$33*Tabella33[[#This Row],[2043%]]</f>
        <v>2333.2006821175091</v>
      </c>
      <c r="AA37">
        <f>AA$33*Tabella33[[#This Row],[2044%]]</f>
        <v>2333.2006821175091</v>
      </c>
      <c r="AB37">
        <f>AB$33*Tabella33[[#This Row],[2045%]]</f>
        <v>2333.2006821175091</v>
      </c>
      <c r="AC37">
        <v>6.8211751120076589E-3</v>
      </c>
      <c r="AD37">
        <v>6.8211751120076589E-3</v>
      </c>
      <c r="AE37">
        <v>6.8211751120076589E-3</v>
      </c>
      <c r="AF37">
        <v>6.8211751120076589E-3</v>
      </c>
      <c r="AG37">
        <v>6.8211751120076589E-3</v>
      </c>
      <c r="AH37">
        <v>6.8211751120076589E-3</v>
      </c>
      <c r="AI37">
        <v>6.8211751120076589E-3</v>
      </c>
      <c r="AJ37">
        <v>6.8211751120076589E-3</v>
      </c>
      <c r="AK37">
        <v>6.8211751120076589E-3</v>
      </c>
      <c r="AL37">
        <v>6.8211751120076589E-3</v>
      </c>
      <c r="AM37">
        <v>6.8211751120076589E-3</v>
      </c>
      <c r="AN37">
        <v>6.8211751120076589E-3</v>
      </c>
      <c r="AO37">
        <v>6.8211751120076589E-3</v>
      </c>
      <c r="AP37">
        <v>6.8211751120076589E-3</v>
      </c>
      <c r="AQ37">
        <v>6.8211751120076589E-3</v>
      </c>
      <c r="AR37">
        <v>6.8211751120076589E-3</v>
      </c>
      <c r="AS37">
        <v>6.8211751120076589E-3</v>
      </c>
      <c r="AT37">
        <v>6.8211751120076589E-3</v>
      </c>
      <c r="AU37">
        <v>6.8211751120076589E-3</v>
      </c>
      <c r="AV37">
        <v>6.8211751120076589E-3</v>
      </c>
      <c r="AW37">
        <v>6.8211751120076589E-3</v>
      </c>
      <c r="AX37">
        <v>6.8211751120076589E-3</v>
      </c>
      <c r="AY37">
        <v>6.8211751120076589E-3</v>
      </c>
      <c r="AZ37">
        <v>6.8211751120076589E-3</v>
      </c>
      <c r="BA37">
        <v>6.8211751120076589E-3</v>
      </c>
      <c r="BB37">
        <v>6.8211751120076589E-3</v>
      </c>
    </row>
    <row r="38" spans="2:54" x14ac:dyDescent="0.35">
      <c r="B38" s="40" t="s">
        <v>9</v>
      </c>
      <c r="C38">
        <f>C$33*Tabella33[[#This Row],[2020%]]</f>
        <v>3099.8009062351539</v>
      </c>
      <c r="D38">
        <f>D$33*Tabella33[[#This Row],[2021%]]</f>
        <v>3099.8009062351539</v>
      </c>
      <c r="E38">
        <f>E$33*Tabella33[[#This Row],[2022%]]</f>
        <v>3099.8009062351521</v>
      </c>
      <c r="F38">
        <f>F$33*Tabella33[[#This Row],[2023%]]</f>
        <v>3099.8009062351521</v>
      </c>
      <c r="G38">
        <f>G$33*Tabella33[[#This Row],[2024%]]</f>
        <v>3099.8009062351521</v>
      </c>
      <c r="H38">
        <f>H$33*Tabella33[[#This Row],[2025%]]</f>
        <v>3099.8009062351521</v>
      </c>
      <c r="I38">
        <f>I$33*Tabella33[[#This Row],[2026%]]</f>
        <v>3099.8009062351521</v>
      </c>
      <c r="J38">
        <f>J$33*Tabella33[[#This Row],[2027%]]</f>
        <v>3099.8009062351521</v>
      </c>
      <c r="K38">
        <f>K$33*Tabella33[[#This Row],[2028%]]</f>
        <v>3099.8009062351521</v>
      </c>
      <c r="L38">
        <f>L$33*Tabella33[[#This Row],[2029%]]</f>
        <v>3099.8009062351521</v>
      </c>
      <c r="M38">
        <f>M$33*Tabella33[[#This Row],[2030%]]</f>
        <v>3099.8009062351521</v>
      </c>
      <c r="N38">
        <f>N$33*Tabella33[[#This Row],[2031%]]</f>
        <v>3099.8009062351521</v>
      </c>
      <c r="O38">
        <f>O$33*Tabella33[[#This Row],[2032%]]</f>
        <v>3099.8009062351521</v>
      </c>
      <c r="P38">
        <f>P$33*Tabella33[[#This Row],[2033%]]</f>
        <v>3099.8009062351521</v>
      </c>
      <c r="Q38">
        <f>Q$33*Tabella33[[#This Row],[2034%]]</f>
        <v>3099.8009062351521</v>
      </c>
      <c r="R38">
        <f>R$33*Tabella33[[#This Row],[2035%]]</f>
        <v>3099.8009062351521</v>
      </c>
      <c r="S38">
        <f>S$33*Tabella33[[#This Row],[2036%]]</f>
        <v>3099.8009062351521</v>
      </c>
      <c r="T38">
        <f>T$33*Tabella33[[#This Row],[2037%]]</f>
        <v>3099.8009062351521</v>
      </c>
      <c r="U38">
        <f>U$33*Tabella33[[#This Row],[2038%]]</f>
        <v>3099.8009062351521</v>
      </c>
      <c r="V38">
        <f>V$33*Tabella33[[#This Row],[2039%]]</f>
        <v>3099.8009062351521</v>
      </c>
      <c r="W38">
        <f>W$33*Tabella33[[#This Row],[2040%]]</f>
        <v>3099.8009062351521</v>
      </c>
      <c r="X38">
        <f>X$33*Tabella33[[#This Row],[2041%]]</f>
        <v>3099.8009062351521</v>
      </c>
      <c r="Y38">
        <f>Y$33*Tabella33[[#This Row],[2042%]]</f>
        <v>3099.8009062351521</v>
      </c>
      <c r="Z38">
        <f>Z$33*Tabella33[[#This Row],[2043%]]</f>
        <v>3099.8009062351521</v>
      </c>
      <c r="AA38">
        <f>AA$33*Tabella33[[#This Row],[2044%]]</f>
        <v>3099.8009062351521</v>
      </c>
      <c r="AB38">
        <f>AB$33*Tabella33[[#This Row],[2045%]]</f>
        <v>3099.8009062351521</v>
      </c>
      <c r="AC38">
        <v>9.0623515396028396E-3</v>
      </c>
      <c r="AD38">
        <v>9.0623515396028396E-3</v>
      </c>
      <c r="AE38">
        <v>9.0623515396028396E-3</v>
      </c>
      <c r="AF38">
        <v>9.0623515396028396E-3</v>
      </c>
      <c r="AG38">
        <v>9.0623515396028396E-3</v>
      </c>
      <c r="AH38">
        <v>9.0623515396028396E-3</v>
      </c>
      <c r="AI38">
        <v>9.0623515396028396E-3</v>
      </c>
      <c r="AJ38">
        <v>9.0623515396028396E-3</v>
      </c>
      <c r="AK38">
        <v>9.0623515396028396E-3</v>
      </c>
      <c r="AL38">
        <v>9.0623515396028396E-3</v>
      </c>
      <c r="AM38">
        <v>9.0623515396028396E-3</v>
      </c>
      <c r="AN38">
        <v>9.0623515396028396E-3</v>
      </c>
      <c r="AO38">
        <v>9.0623515396028396E-3</v>
      </c>
      <c r="AP38">
        <v>9.0623515396028396E-3</v>
      </c>
      <c r="AQ38">
        <v>9.0623515396028396E-3</v>
      </c>
      <c r="AR38">
        <v>9.0623515396028396E-3</v>
      </c>
      <c r="AS38">
        <v>9.0623515396028396E-3</v>
      </c>
      <c r="AT38">
        <v>9.0623515396028396E-3</v>
      </c>
      <c r="AU38">
        <v>9.0623515396028396E-3</v>
      </c>
      <c r="AV38">
        <v>9.0623515396028396E-3</v>
      </c>
      <c r="AW38">
        <v>9.0623515396028396E-3</v>
      </c>
      <c r="AX38">
        <v>9.0623515396028396E-3</v>
      </c>
      <c r="AY38">
        <v>9.0623515396028396E-3</v>
      </c>
      <c r="AZ38">
        <v>9.0623515396028396E-3</v>
      </c>
      <c r="BA38">
        <v>9.0623515396028396E-3</v>
      </c>
      <c r="BB38">
        <v>9.0623515396028396E-3</v>
      </c>
    </row>
    <row r="40" spans="2:54" x14ac:dyDescent="0.35">
      <c r="B40" s="3" t="s">
        <v>32</v>
      </c>
      <c r="C40" s="3">
        <v>33322.276000000005</v>
      </c>
      <c r="D40">
        <v>33013.848400000003</v>
      </c>
      <c r="E40">
        <v>32705.420800000004</v>
      </c>
      <c r="F40">
        <v>32396.993200000004</v>
      </c>
      <c r="G40">
        <v>32088.565600000005</v>
      </c>
      <c r="H40" s="3">
        <v>31780.138000000006</v>
      </c>
      <c r="I40">
        <v>31471.710400000007</v>
      </c>
      <c r="J40">
        <v>31163.282800000008</v>
      </c>
      <c r="K40">
        <v>30854.855200000009</v>
      </c>
      <c r="L40">
        <v>30546.42760000001</v>
      </c>
      <c r="M40" s="3">
        <v>30238</v>
      </c>
      <c r="N40">
        <v>29929.572399999997</v>
      </c>
      <c r="O40">
        <v>29621.144799999995</v>
      </c>
      <c r="P40">
        <v>29312.717199999992</v>
      </c>
      <c r="Q40">
        <v>29004.289599999989</v>
      </c>
      <c r="R40">
        <v>28695.861999999986</v>
      </c>
      <c r="S40">
        <v>28387.434399999984</v>
      </c>
      <c r="T40">
        <v>28079.006799999981</v>
      </c>
      <c r="U40">
        <v>27770.579199999978</v>
      </c>
      <c r="V40">
        <v>27462.151599999976</v>
      </c>
      <c r="W40">
        <v>27153.723999999973</v>
      </c>
      <c r="X40">
        <v>27153.723999999973</v>
      </c>
      <c r="Y40">
        <v>27153.723999999973</v>
      </c>
      <c r="Z40">
        <v>27153.723999999973</v>
      </c>
      <c r="AA40">
        <v>27153.723999999973</v>
      </c>
      <c r="AB40">
        <v>27153.723999999973</v>
      </c>
      <c r="AC40">
        <v>1</v>
      </c>
      <c r="AD40">
        <v>1</v>
      </c>
      <c r="AE40">
        <v>0.99999999999999978</v>
      </c>
      <c r="AF40">
        <v>0.99999999999999978</v>
      </c>
      <c r="AG40">
        <v>0.99999999999999978</v>
      </c>
      <c r="AH40">
        <v>0.99999999999999978</v>
      </c>
      <c r="AI40">
        <v>0.99999999999999967</v>
      </c>
      <c r="AJ40">
        <v>0.99999999999999956</v>
      </c>
      <c r="AK40">
        <v>0.99999999999999967</v>
      </c>
      <c r="AL40">
        <v>0.99999999999999956</v>
      </c>
      <c r="AM40">
        <v>0.99999999999999989</v>
      </c>
      <c r="AN40">
        <v>0.99999999999999989</v>
      </c>
      <c r="AO40">
        <v>0.99999999999999989</v>
      </c>
      <c r="AP40">
        <v>0.99999999999999989</v>
      </c>
      <c r="AQ40">
        <v>0.99999999999999989</v>
      </c>
      <c r="AR40">
        <v>0.99999999999999989</v>
      </c>
      <c r="AS40">
        <v>0.99999999999999989</v>
      </c>
      <c r="AT40">
        <v>0.99999999999999989</v>
      </c>
      <c r="AU40">
        <v>0.99999999999999989</v>
      </c>
      <c r="AV40">
        <v>0.99999999999999989</v>
      </c>
      <c r="AW40">
        <v>0.99999999999999989</v>
      </c>
      <c r="AX40">
        <v>0.99999999999999989</v>
      </c>
      <c r="AY40">
        <v>0.99999999999999989</v>
      </c>
      <c r="AZ40">
        <v>0.99999999999999989</v>
      </c>
      <c r="BA40">
        <v>0.99999999999999989</v>
      </c>
      <c r="BB40">
        <v>0.99999999999999989</v>
      </c>
    </row>
    <row r="41" spans="2:54" x14ac:dyDescent="0.35">
      <c r="B41" t="s">
        <v>29</v>
      </c>
      <c r="C41" s="3">
        <v>6310.4380000000001</v>
      </c>
      <c r="D41">
        <v>6252.0292272232309</v>
      </c>
      <c r="E41">
        <v>6193.6204544464617</v>
      </c>
      <c r="F41">
        <v>6135.2116816696926</v>
      </c>
      <c r="G41">
        <v>6076.8029088929234</v>
      </c>
      <c r="H41" s="3">
        <v>6018.3941361161542</v>
      </c>
      <c r="I41">
        <v>5959.985363339385</v>
      </c>
      <c r="J41">
        <v>5901.5765905626158</v>
      </c>
      <c r="K41">
        <v>5843.1678177858466</v>
      </c>
      <c r="L41">
        <v>5784.7590450090775</v>
      </c>
      <c r="M41" s="3">
        <v>5726.3502722323046</v>
      </c>
      <c r="N41">
        <f>N$40*Tabella33[[#This Row],[2031%]]</f>
        <v>5667.9414994555345</v>
      </c>
      <c r="O41">
        <f>O$40*Tabella33[[#This Row],[2032%]]</f>
        <v>5609.5327266787644</v>
      </c>
      <c r="P41">
        <f>P$40*Tabella33[[#This Row],[2033%]]</f>
        <v>5551.1239539019944</v>
      </c>
      <c r="Q41">
        <f>Q$40*Tabella33[[#This Row],[2034%]]</f>
        <v>5492.7151811252243</v>
      </c>
      <c r="R41">
        <f>R$40*Tabella33[[#This Row],[2035%]]</f>
        <v>5434.3064083484542</v>
      </c>
      <c r="S41">
        <f>S$40*Tabella33[[#This Row],[2036%]]</f>
        <v>5375.8976355716841</v>
      </c>
      <c r="T41">
        <f>T$40*Tabella33[[#This Row],[2037%]]</f>
        <v>5317.488862794914</v>
      </c>
      <c r="U41">
        <f>U$40*Tabella33[[#This Row],[2038%]]</f>
        <v>5259.0800900181439</v>
      </c>
      <c r="V41">
        <f>V$40*Tabella33[[#This Row],[2039%]]</f>
        <v>5200.6713172413747</v>
      </c>
      <c r="W41">
        <f>W$40*Tabella33[[#This Row],[2040%]]</f>
        <v>5142.2625444646046</v>
      </c>
      <c r="X41">
        <f>X$40*Tabella33[[#This Row],[2041%]]</f>
        <v>5142.2625444646046</v>
      </c>
      <c r="Y41">
        <f>Y$40*Tabella33[[#This Row],[2042%]]</f>
        <v>5142.2625444646046</v>
      </c>
      <c r="Z41">
        <f>Z$40*Tabella33[[#This Row],[2043%]]</f>
        <v>5142.2625444646046</v>
      </c>
      <c r="AA41">
        <f>AA$40*Tabella33[[#This Row],[2044%]]</f>
        <v>5142.2625444646046</v>
      </c>
      <c r="AB41">
        <f>AB$40*Tabella33[[#This Row],[2045%]]</f>
        <v>5142.2625444646046</v>
      </c>
      <c r="AC41">
        <v>0.18937595979338262</v>
      </c>
      <c r="AD41">
        <v>0.18937595979338265</v>
      </c>
      <c r="AE41">
        <v>0.18937595979338268</v>
      </c>
      <c r="AF41">
        <v>0.18937595979338268</v>
      </c>
      <c r="AG41">
        <v>0.18937595979338268</v>
      </c>
      <c r="AH41">
        <v>0.18937595979338268</v>
      </c>
      <c r="AI41">
        <v>0.18937595979338268</v>
      </c>
      <c r="AJ41">
        <v>0.18937595979338268</v>
      </c>
      <c r="AK41">
        <v>0.1893759597933827</v>
      </c>
      <c r="AL41">
        <v>0.1893759597933827</v>
      </c>
      <c r="AM41">
        <v>0.18937595979338265</v>
      </c>
      <c r="AN41">
        <v>0.18937595979338265</v>
      </c>
      <c r="AO41">
        <v>0.18937595979338265</v>
      </c>
      <c r="AP41">
        <v>0.18937595979338265</v>
      </c>
      <c r="AQ41">
        <v>0.18937595979338265</v>
      </c>
      <c r="AR41">
        <v>0.18937595979338265</v>
      </c>
      <c r="AS41">
        <v>0.18937595979338265</v>
      </c>
      <c r="AT41">
        <v>0.18937595979338265</v>
      </c>
      <c r="AU41">
        <v>0.18937595979338265</v>
      </c>
      <c r="AV41">
        <v>0.18937595979338265</v>
      </c>
      <c r="AW41">
        <v>0.18937595979338265</v>
      </c>
      <c r="AX41">
        <v>0.18937595979338265</v>
      </c>
      <c r="AY41">
        <v>0.18937595979338265</v>
      </c>
      <c r="AZ41">
        <v>0.18937595979338265</v>
      </c>
      <c r="BA41">
        <v>0.18937595979338265</v>
      </c>
      <c r="BB41">
        <v>0.18937595979338265</v>
      </c>
    </row>
    <row r="42" spans="2:54" x14ac:dyDescent="0.35">
      <c r="B42" t="s">
        <v>28</v>
      </c>
      <c r="C42" s="3">
        <v>1580.5169999999998</v>
      </c>
      <c r="D42">
        <v>1565.8878952813066</v>
      </c>
      <c r="E42">
        <v>1551.2587905626133</v>
      </c>
      <c r="F42">
        <v>1536.62968584392</v>
      </c>
      <c r="G42">
        <v>1522.0005811252267</v>
      </c>
      <c r="H42" s="3">
        <v>1507.3714764065335</v>
      </c>
      <c r="I42">
        <v>1492.7423716878402</v>
      </c>
      <c r="J42">
        <v>1478.1132669691469</v>
      </c>
      <c r="K42">
        <v>1463.4841622504537</v>
      </c>
      <c r="L42">
        <v>1448.8550575317604</v>
      </c>
      <c r="M42" s="3">
        <v>1434.2259528130671</v>
      </c>
      <c r="N42">
        <f>N$40*Tabella33[[#This Row],[2031%]]</f>
        <v>1419.5968480943736</v>
      </c>
      <c r="O42">
        <f>O$40*Tabella33[[#This Row],[2032%]]</f>
        <v>1404.9677433756801</v>
      </c>
      <c r="P42">
        <f>P$40*Tabella33[[#This Row],[2033%]]</f>
        <v>1390.3386386569869</v>
      </c>
      <c r="Q42">
        <f>Q$40*Tabella33[[#This Row],[2034%]]</f>
        <v>1375.7095339382934</v>
      </c>
      <c r="R42">
        <f>R$40*Tabella33[[#This Row],[2035%]]</f>
        <v>1361.0804292195999</v>
      </c>
      <c r="S42">
        <f>S$40*Tabella33[[#This Row],[2036%]]</f>
        <v>1346.4513245009066</v>
      </c>
      <c r="T42">
        <f>T$40*Tabella33[[#This Row],[2037%]]</f>
        <v>1331.8222197822131</v>
      </c>
      <c r="U42">
        <f>U$40*Tabella33[[#This Row],[2038%]]</f>
        <v>1317.1931150635198</v>
      </c>
      <c r="V42">
        <f>V$40*Tabella33[[#This Row],[2039%]]</f>
        <v>1302.5640103448263</v>
      </c>
      <c r="W42">
        <f>W$40*Tabella33[[#This Row],[2040%]]</f>
        <v>1287.9349056261328</v>
      </c>
      <c r="X42">
        <f>X$40*Tabella33[[#This Row],[2041%]]</f>
        <v>1287.9349056261328</v>
      </c>
      <c r="Y42">
        <f>Y$40*Tabella33[[#This Row],[2042%]]</f>
        <v>1287.9349056261328</v>
      </c>
      <c r="Z42">
        <f>Z$40*Tabella33[[#This Row],[2043%]]</f>
        <v>1287.9349056261328</v>
      </c>
      <c r="AA42">
        <f>AA$40*Tabella33[[#This Row],[2044%]]</f>
        <v>1287.9349056261328</v>
      </c>
      <c r="AB42">
        <f>AB$40*Tabella33[[#This Row],[2045%]]</f>
        <v>1287.9349056261328</v>
      </c>
      <c r="AC42">
        <v>4.7431243892223918E-2</v>
      </c>
      <c r="AD42">
        <v>4.7431243892223918E-2</v>
      </c>
      <c r="AE42">
        <v>4.7431243892223918E-2</v>
      </c>
      <c r="AF42">
        <v>4.7431243892223918E-2</v>
      </c>
      <c r="AG42">
        <v>4.7431243892223918E-2</v>
      </c>
      <c r="AH42">
        <v>4.7431243892223918E-2</v>
      </c>
      <c r="AI42">
        <v>4.7431243892223918E-2</v>
      </c>
      <c r="AJ42">
        <v>4.7431243892223911E-2</v>
      </c>
      <c r="AK42">
        <v>4.7431243892223911E-2</v>
      </c>
      <c r="AL42">
        <v>4.7431243892223911E-2</v>
      </c>
      <c r="AM42">
        <v>4.7431243892223925E-2</v>
      </c>
      <c r="AN42">
        <v>4.7431243892223925E-2</v>
      </c>
      <c r="AO42">
        <v>4.7431243892223925E-2</v>
      </c>
      <c r="AP42">
        <v>4.7431243892223925E-2</v>
      </c>
      <c r="AQ42">
        <v>4.7431243892223925E-2</v>
      </c>
      <c r="AR42">
        <v>4.7431243892223925E-2</v>
      </c>
      <c r="AS42">
        <v>4.7431243892223925E-2</v>
      </c>
      <c r="AT42">
        <v>4.7431243892223925E-2</v>
      </c>
      <c r="AU42">
        <v>4.7431243892223925E-2</v>
      </c>
      <c r="AV42">
        <v>4.7431243892223925E-2</v>
      </c>
      <c r="AW42">
        <v>4.7431243892223925E-2</v>
      </c>
      <c r="AX42">
        <v>4.7431243892223925E-2</v>
      </c>
      <c r="AY42">
        <v>4.7431243892223925E-2</v>
      </c>
      <c r="AZ42">
        <v>4.7431243892223925E-2</v>
      </c>
      <c r="BA42">
        <v>4.7431243892223925E-2</v>
      </c>
      <c r="BB42">
        <v>4.7431243892223925E-2</v>
      </c>
    </row>
    <row r="43" spans="2:54" x14ac:dyDescent="0.35">
      <c r="B43" t="s">
        <v>30</v>
      </c>
      <c r="C43" s="3">
        <v>25431.321</v>
      </c>
      <c r="D43">
        <v>25195.931277495463</v>
      </c>
      <c r="E43">
        <v>24960.541554990927</v>
      </c>
      <c r="F43">
        <v>24725.15183248639</v>
      </c>
      <c r="G43">
        <v>24489.762109981853</v>
      </c>
      <c r="H43" s="3">
        <v>24254.372387477317</v>
      </c>
      <c r="I43">
        <v>24018.98266497278</v>
      </c>
      <c r="J43">
        <v>23783.592942468244</v>
      </c>
      <c r="K43">
        <v>23548.203219963707</v>
      </c>
      <c r="L43">
        <v>23312.81349745917</v>
      </c>
      <c r="M43" s="3">
        <v>23077.42377495463</v>
      </c>
      <c r="N43">
        <f>N$40*Tabella33[[#This Row],[2031%]]</f>
        <v>22842.034052450093</v>
      </c>
      <c r="O43">
        <f>O$40*Tabella33[[#This Row],[2032%]]</f>
        <v>22606.644329945553</v>
      </c>
      <c r="P43">
        <f>P$40*Tabella33[[#This Row],[2033%]]</f>
        <v>22371.254607441013</v>
      </c>
      <c r="Q43">
        <f>Q$40*Tabella33[[#This Row],[2034%]]</f>
        <v>22135.864884936473</v>
      </c>
      <c r="R43">
        <f>R$40*Tabella33[[#This Row],[2035%]]</f>
        <v>21900.475162431936</v>
      </c>
      <c r="S43">
        <f>S$40*Tabella33[[#This Row],[2036%]]</f>
        <v>21665.085439927396</v>
      </c>
      <c r="T43">
        <f>T$40*Tabella33[[#This Row],[2037%]]</f>
        <v>21429.695717422856</v>
      </c>
      <c r="U43">
        <f>U$40*Tabella33[[#This Row],[2038%]]</f>
        <v>21194.305994918315</v>
      </c>
      <c r="V43">
        <f>V$40*Tabella33[[#This Row],[2039%]]</f>
        <v>20958.916272413779</v>
      </c>
      <c r="W43">
        <f>W$40*Tabella33[[#This Row],[2040%]]</f>
        <v>20723.526549909238</v>
      </c>
      <c r="X43">
        <f>X$40*Tabella33[[#This Row],[2041%]]</f>
        <v>20723.526549909238</v>
      </c>
      <c r="Y43">
        <f>Y$40*Tabella33[[#This Row],[2042%]]</f>
        <v>20723.526549909238</v>
      </c>
      <c r="Z43">
        <f>Z$40*Tabella33[[#This Row],[2043%]]</f>
        <v>20723.526549909238</v>
      </c>
      <c r="AA43">
        <f>AA$40*Tabella33[[#This Row],[2044%]]</f>
        <v>20723.526549909238</v>
      </c>
      <c r="AB43">
        <f>AB$40*Tabella33[[#This Row],[2045%]]</f>
        <v>20723.526549909238</v>
      </c>
      <c r="AC43">
        <v>0.7631927963143933</v>
      </c>
      <c r="AD43">
        <v>0.76319279631439341</v>
      </c>
      <c r="AE43">
        <v>0.76319279631439341</v>
      </c>
      <c r="AF43">
        <v>0.76319279631439341</v>
      </c>
      <c r="AG43">
        <v>0.76319279631439341</v>
      </c>
      <c r="AH43">
        <v>0.7631927963143933</v>
      </c>
      <c r="AI43">
        <v>0.7631927963143933</v>
      </c>
      <c r="AJ43">
        <v>0.7631927963143933</v>
      </c>
      <c r="AK43">
        <v>0.7631927963143933</v>
      </c>
      <c r="AL43">
        <v>0.7631927963143933</v>
      </c>
      <c r="AM43">
        <v>0.76319279631439352</v>
      </c>
      <c r="AN43">
        <v>0.76319279631439352</v>
      </c>
      <c r="AO43">
        <v>0.76319279631439352</v>
      </c>
      <c r="AP43">
        <v>0.76319279631439352</v>
      </c>
      <c r="AQ43">
        <v>0.76319279631439352</v>
      </c>
      <c r="AR43">
        <v>0.76319279631439352</v>
      </c>
      <c r="AS43">
        <v>0.76319279631439352</v>
      </c>
      <c r="AT43">
        <v>0.76319279631439352</v>
      </c>
      <c r="AU43">
        <v>0.76319279631439352</v>
      </c>
      <c r="AV43">
        <v>0.76319279631439352</v>
      </c>
      <c r="AW43">
        <v>0.76319279631439352</v>
      </c>
      <c r="AX43">
        <v>0.76319279631439352</v>
      </c>
      <c r="AY43">
        <v>0.76319279631439352</v>
      </c>
      <c r="AZ43">
        <v>0.76319279631439352</v>
      </c>
      <c r="BA43">
        <v>0.76319279631439352</v>
      </c>
      <c r="BB43">
        <v>0.76319279631439352</v>
      </c>
    </row>
    <row r="46" spans="2:54" x14ac:dyDescent="0.35">
      <c r="B46" t="s">
        <v>52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21</v>
      </c>
      <c r="I46" t="s">
        <v>22</v>
      </c>
      <c r="J46" t="s">
        <v>23</v>
      </c>
      <c r="K46" t="s">
        <v>24</v>
      </c>
      <c r="L46" t="s">
        <v>25</v>
      </c>
      <c r="M46" t="s">
        <v>26</v>
      </c>
      <c r="N46" t="s">
        <v>37</v>
      </c>
      <c r="O46" t="s">
        <v>54</v>
      </c>
      <c r="P46" t="s">
        <v>55</v>
      </c>
      <c r="Q46" t="s">
        <v>56</v>
      </c>
      <c r="R46" t="s">
        <v>57</v>
      </c>
      <c r="S46" t="s">
        <v>58</v>
      </c>
      <c r="T46" t="s">
        <v>59</v>
      </c>
      <c r="U46" t="s">
        <v>60</v>
      </c>
      <c r="V46" t="s">
        <v>61</v>
      </c>
      <c r="W46" t="s">
        <v>62</v>
      </c>
      <c r="X46" t="s">
        <v>85</v>
      </c>
      <c r="Y46" t="s">
        <v>86</v>
      </c>
      <c r="Z46" t="s">
        <v>87</v>
      </c>
      <c r="AA46" t="s">
        <v>88</v>
      </c>
      <c r="AB46" t="s">
        <v>89</v>
      </c>
    </row>
    <row r="47" spans="2:54" x14ac:dyDescent="0.35">
      <c r="B47" t="s">
        <v>53</v>
      </c>
      <c r="C47">
        <v>342052.6</v>
      </c>
      <c r="D47">
        <v>342052.6</v>
      </c>
      <c r="E47">
        <v>342052.59999999974</v>
      </c>
      <c r="F47">
        <v>342052.59999999974</v>
      </c>
      <c r="G47">
        <v>342052.59999999974</v>
      </c>
      <c r="H47">
        <v>342052.59999999974</v>
      </c>
      <c r="I47">
        <v>342052.59999999974</v>
      </c>
      <c r="J47">
        <v>342052.59999999974</v>
      </c>
      <c r="K47">
        <v>342052.59999999974</v>
      </c>
      <c r="L47">
        <v>342052.59999999974</v>
      </c>
      <c r="M47">
        <v>342052.59999999974</v>
      </c>
      <c r="N47">
        <v>342052.59999999974</v>
      </c>
      <c r="O47">
        <v>342052.59999999974</v>
      </c>
      <c r="P47">
        <v>342052.59999999974</v>
      </c>
      <c r="Q47">
        <v>342052.59999999974</v>
      </c>
      <c r="R47">
        <v>342052.59999999974</v>
      </c>
      <c r="S47">
        <v>342052.59999999974</v>
      </c>
      <c r="T47">
        <v>342052.59999999974</v>
      </c>
      <c r="U47">
        <v>342052.59999999974</v>
      </c>
      <c r="V47">
        <v>342052.59999999974</v>
      </c>
      <c r="W47">
        <v>342052.59999999974</v>
      </c>
      <c r="X47">
        <v>342052.59999999974</v>
      </c>
      <c r="Y47">
        <v>342052.59999999974</v>
      </c>
      <c r="Z47">
        <v>342052.59999999974</v>
      </c>
      <c r="AA47">
        <v>342052.59999999974</v>
      </c>
      <c r="AB47">
        <v>342052.59999999974</v>
      </c>
    </row>
    <row r="48" spans="2:54" x14ac:dyDescent="0.35">
      <c r="B48" t="s">
        <v>32</v>
      </c>
      <c r="C48">
        <v>33322.276000000005</v>
      </c>
      <c r="D48">
        <v>33013.848400000003</v>
      </c>
      <c r="E48">
        <v>32705.420800000004</v>
      </c>
      <c r="F48">
        <v>32396.993200000004</v>
      </c>
      <c r="G48">
        <v>32088.565600000005</v>
      </c>
      <c r="H48">
        <v>31780.138000000006</v>
      </c>
      <c r="I48">
        <v>31471.710400000007</v>
      </c>
      <c r="J48">
        <v>31163.282800000008</v>
      </c>
      <c r="K48">
        <v>30854.855200000009</v>
      </c>
      <c r="L48">
        <v>30546.42760000001</v>
      </c>
      <c r="M48">
        <v>30238</v>
      </c>
      <c r="N48">
        <v>29929.572399999997</v>
      </c>
      <c r="O48">
        <v>29621.144799999995</v>
      </c>
      <c r="P48">
        <v>29312.717199999992</v>
      </c>
      <c r="Q48">
        <v>29004.289599999989</v>
      </c>
      <c r="R48">
        <v>28695.861999999986</v>
      </c>
      <c r="S48">
        <v>28387.434399999984</v>
      </c>
      <c r="T48">
        <v>28079.006799999981</v>
      </c>
      <c r="U48">
        <v>27770.579199999978</v>
      </c>
      <c r="V48">
        <v>27462.151599999976</v>
      </c>
      <c r="W48">
        <v>27153.723999999973</v>
      </c>
      <c r="X48">
        <v>27153.723999999973</v>
      </c>
      <c r="Y48">
        <v>27153.723999999973</v>
      </c>
      <c r="Z48">
        <v>27153.723999999973</v>
      </c>
      <c r="AA48">
        <v>27153.723999999973</v>
      </c>
      <c r="AB48">
        <v>27153.723999999973</v>
      </c>
    </row>
    <row r="49" spans="2:28" x14ac:dyDescent="0.35">
      <c r="B49" t="s">
        <v>6</v>
      </c>
      <c r="C49">
        <v>374951.2</v>
      </c>
      <c r="D49">
        <v>381836.16000000003</v>
      </c>
      <c r="E49">
        <v>388721.12000000005</v>
      </c>
      <c r="F49">
        <v>395606.08000000007</v>
      </c>
      <c r="G49">
        <v>402491.0400000001</v>
      </c>
      <c r="H49">
        <v>409376.00000000006</v>
      </c>
      <c r="I49">
        <v>402886.46</v>
      </c>
      <c r="J49">
        <v>396396.92</v>
      </c>
      <c r="K49">
        <v>389907.37999999995</v>
      </c>
      <c r="L49">
        <v>383417.83999999991</v>
      </c>
      <c r="M49">
        <v>376928.3</v>
      </c>
      <c r="N49">
        <v>370438.75999999995</v>
      </c>
      <c r="O49">
        <v>363949.21999999991</v>
      </c>
      <c r="P49">
        <v>357459.67999999988</v>
      </c>
      <c r="Q49">
        <v>350970.13999999984</v>
      </c>
      <c r="R49">
        <v>344480.5999999998</v>
      </c>
      <c r="S49">
        <v>337991.05999999976</v>
      </c>
      <c r="T49">
        <v>331501.51999999973</v>
      </c>
      <c r="U49">
        <v>325011.97999999969</v>
      </c>
      <c r="V49">
        <v>318522.43999999965</v>
      </c>
      <c r="W49">
        <v>312032.89999999962</v>
      </c>
      <c r="X49">
        <v>312032.89999999962</v>
      </c>
      <c r="Y49">
        <v>312032.89999999962</v>
      </c>
      <c r="Z49">
        <v>312032.89999999962</v>
      </c>
      <c r="AA49">
        <v>312032.89999999962</v>
      </c>
      <c r="AB49">
        <v>312032.89999999962</v>
      </c>
    </row>
    <row r="50" spans="2:28" x14ac:dyDescent="0.35">
      <c r="B50" t="s">
        <v>5</v>
      </c>
      <c r="C50">
        <v>287493.59999999998</v>
      </c>
      <c r="D50">
        <v>287447.07999999996</v>
      </c>
      <c r="E50">
        <v>287400.55999999994</v>
      </c>
      <c r="F50">
        <v>287354.03999999992</v>
      </c>
      <c r="G50">
        <v>287307.5199999999</v>
      </c>
      <c r="H50">
        <v>287261</v>
      </c>
      <c r="I50">
        <v>284772.18</v>
      </c>
      <c r="J50">
        <v>282283.36</v>
      </c>
      <c r="K50">
        <v>279794.53999999998</v>
      </c>
      <c r="L50">
        <v>277305.71999999997</v>
      </c>
      <c r="M50">
        <v>274816.89999999997</v>
      </c>
      <c r="N50">
        <v>272328.07999999996</v>
      </c>
      <c r="O50">
        <v>269839.25999999995</v>
      </c>
      <c r="P50">
        <v>267350.43999999994</v>
      </c>
      <c r="Q50">
        <v>264861.61999999994</v>
      </c>
      <c r="R50">
        <v>262372.79999999993</v>
      </c>
      <c r="S50">
        <v>259883.97999999992</v>
      </c>
      <c r="T50">
        <v>257395.15999999992</v>
      </c>
      <c r="U50">
        <v>254906.33999999991</v>
      </c>
      <c r="V50">
        <v>252417.5199999999</v>
      </c>
      <c r="W50">
        <v>249928.6999999999</v>
      </c>
      <c r="X50">
        <v>249928.6999999999</v>
      </c>
      <c r="Y50">
        <v>249928.6999999999</v>
      </c>
      <c r="Z50">
        <v>249928.6999999999</v>
      </c>
      <c r="AA50">
        <v>249928.6999999999</v>
      </c>
      <c r="AB50">
        <v>249928.6999999999</v>
      </c>
    </row>
    <row r="51" spans="2:28" x14ac:dyDescent="0.35">
      <c r="B51" t="s">
        <v>4</v>
      </c>
      <c r="C51">
        <v>355878</v>
      </c>
      <c r="D51">
        <v>350156.04</v>
      </c>
      <c r="E51">
        <v>344434.07999999996</v>
      </c>
      <c r="F51">
        <v>338712.11999999994</v>
      </c>
      <c r="G51">
        <v>332990.15999999992</v>
      </c>
      <c r="H51">
        <v>327268.2</v>
      </c>
      <c r="I51">
        <v>319662.18</v>
      </c>
      <c r="J51">
        <v>312056.15999999997</v>
      </c>
      <c r="K51">
        <v>304450.13999999996</v>
      </c>
      <c r="L51">
        <v>296844.11999999994</v>
      </c>
      <c r="M51">
        <v>289238.10000000003</v>
      </c>
      <c r="N51">
        <v>281632.08</v>
      </c>
      <c r="O51">
        <v>274026.06</v>
      </c>
      <c r="P51">
        <v>266420.03999999998</v>
      </c>
      <c r="Q51">
        <v>258814.02</v>
      </c>
      <c r="R51">
        <v>251208</v>
      </c>
      <c r="S51">
        <v>243601.98</v>
      </c>
      <c r="T51">
        <v>235995.96000000002</v>
      </c>
      <c r="U51">
        <v>228389.94000000003</v>
      </c>
      <c r="V51">
        <v>220783.92000000004</v>
      </c>
      <c r="W51">
        <v>213177.90000000005</v>
      </c>
      <c r="X51">
        <v>213177.90000000005</v>
      </c>
      <c r="Y51">
        <v>213177.90000000005</v>
      </c>
      <c r="Z51">
        <v>213177.90000000005</v>
      </c>
      <c r="AA51">
        <v>213177.90000000005</v>
      </c>
      <c r="AB51">
        <v>213177.90000000005</v>
      </c>
    </row>
    <row r="52" spans="2:28" x14ac:dyDescent="0.35">
      <c r="B52" t="s">
        <v>31</v>
      </c>
      <c r="C52">
        <v>172063.524</v>
      </c>
      <c r="D52">
        <v>169045.77160000001</v>
      </c>
      <c r="E52">
        <v>166028.01920000001</v>
      </c>
      <c r="F52">
        <v>163010.26680000001</v>
      </c>
      <c r="G52">
        <v>159992.51440000001</v>
      </c>
      <c r="H52">
        <v>156974.76200000002</v>
      </c>
      <c r="I52">
        <v>153957.00960000002</v>
      </c>
      <c r="J52">
        <v>150939.25720000002</v>
      </c>
      <c r="K52">
        <v>147921.50480000002</v>
      </c>
      <c r="L52">
        <v>144903.75240000003</v>
      </c>
      <c r="M52">
        <v>141886</v>
      </c>
      <c r="N52">
        <v>139585.58599999998</v>
      </c>
      <c r="O52">
        <v>137285.17199999996</v>
      </c>
      <c r="P52">
        <v>134984.75799999994</v>
      </c>
      <c r="Q52">
        <v>132684.34399999992</v>
      </c>
      <c r="R52">
        <v>130383.92999999991</v>
      </c>
      <c r="S52">
        <v>128083.51599999989</v>
      </c>
      <c r="T52">
        <v>125783.10199999987</v>
      </c>
      <c r="U52">
        <v>123482.68799999985</v>
      </c>
      <c r="V52">
        <v>121182.27399999983</v>
      </c>
      <c r="W52">
        <v>118881.85999999981</v>
      </c>
      <c r="X52">
        <v>118881.85999999981</v>
      </c>
      <c r="Y52">
        <v>118881.85999999981</v>
      </c>
      <c r="Z52">
        <v>118881.85999999981</v>
      </c>
      <c r="AA52">
        <v>118881.85999999981</v>
      </c>
      <c r="AB52">
        <v>118881.85999999981</v>
      </c>
    </row>
    <row r="54" spans="2:28" x14ac:dyDescent="0.35">
      <c r="B54" s="39" t="s">
        <v>63</v>
      </c>
      <c r="C54" t="s">
        <v>53</v>
      </c>
      <c r="D54" t="s">
        <v>32</v>
      </c>
      <c r="E54" t="s">
        <v>6</v>
      </c>
      <c r="F54" t="s">
        <v>5</v>
      </c>
      <c r="G54" t="s">
        <v>4</v>
      </c>
      <c r="H54" t="s">
        <v>31</v>
      </c>
    </row>
    <row r="55" spans="2:28" x14ac:dyDescent="0.35">
      <c r="B55">
        <v>2020</v>
      </c>
      <c r="C55">
        <v>342052.6</v>
      </c>
      <c r="D55">
        <v>33322.276000000005</v>
      </c>
      <c r="E55">
        <v>374951.2</v>
      </c>
      <c r="F55">
        <v>287493.59999999998</v>
      </c>
      <c r="G55">
        <v>355878</v>
      </c>
      <c r="H55">
        <v>172063.524</v>
      </c>
    </row>
    <row r="56" spans="2:28" x14ac:dyDescent="0.35">
      <c r="B56">
        <v>2021</v>
      </c>
      <c r="C56">
        <v>342052.6</v>
      </c>
      <c r="D56">
        <v>33013.848400000003</v>
      </c>
      <c r="E56">
        <v>381836.16000000003</v>
      </c>
      <c r="F56">
        <v>287447.07999999996</v>
      </c>
      <c r="G56">
        <v>350156.04</v>
      </c>
      <c r="H56">
        <v>169045.77160000001</v>
      </c>
    </row>
    <row r="57" spans="2:28" x14ac:dyDescent="0.35">
      <c r="B57">
        <v>2022</v>
      </c>
      <c r="C57">
        <v>342052.59999999974</v>
      </c>
      <c r="D57">
        <v>32705.420800000004</v>
      </c>
      <c r="E57">
        <v>388721.12000000005</v>
      </c>
      <c r="F57">
        <v>287400.55999999994</v>
      </c>
      <c r="G57">
        <v>344434.07999999996</v>
      </c>
      <c r="H57">
        <v>166028.01920000001</v>
      </c>
    </row>
    <row r="58" spans="2:28" x14ac:dyDescent="0.35">
      <c r="B58">
        <v>2023</v>
      </c>
      <c r="C58">
        <v>342052.59999999974</v>
      </c>
      <c r="D58">
        <v>32396.993200000004</v>
      </c>
      <c r="E58">
        <v>395606.08000000007</v>
      </c>
      <c r="F58">
        <v>287354.03999999992</v>
      </c>
      <c r="G58">
        <v>338712.11999999994</v>
      </c>
      <c r="H58">
        <v>163010.26680000001</v>
      </c>
    </row>
    <row r="59" spans="2:28" x14ac:dyDescent="0.35">
      <c r="B59">
        <v>2024</v>
      </c>
      <c r="C59">
        <v>342052.59999999974</v>
      </c>
      <c r="D59">
        <v>32088.565600000005</v>
      </c>
      <c r="E59">
        <v>402491.0400000001</v>
      </c>
      <c r="F59">
        <v>287307.5199999999</v>
      </c>
      <c r="G59">
        <v>332990.15999999992</v>
      </c>
      <c r="H59">
        <v>159992.51440000001</v>
      </c>
    </row>
    <row r="60" spans="2:28" x14ac:dyDescent="0.35">
      <c r="B60">
        <v>2025</v>
      </c>
      <c r="C60">
        <v>342052.59999999974</v>
      </c>
      <c r="D60">
        <v>31780.138000000006</v>
      </c>
      <c r="E60">
        <v>409376.00000000006</v>
      </c>
      <c r="F60">
        <v>287261</v>
      </c>
      <c r="G60">
        <v>327268.2</v>
      </c>
      <c r="H60">
        <v>156974.76200000002</v>
      </c>
    </row>
    <row r="61" spans="2:28" x14ac:dyDescent="0.35">
      <c r="B61">
        <v>2026</v>
      </c>
      <c r="C61">
        <v>342052.59999999974</v>
      </c>
      <c r="D61">
        <v>31471.710400000007</v>
      </c>
      <c r="E61">
        <v>402886.46</v>
      </c>
      <c r="F61">
        <v>284772.18</v>
      </c>
      <c r="G61">
        <v>319662.18</v>
      </c>
      <c r="H61">
        <v>153957.00960000002</v>
      </c>
    </row>
    <row r="62" spans="2:28" x14ac:dyDescent="0.35">
      <c r="B62">
        <v>2027</v>
      </c>
      <c r="C62">
        <v>342052.59999999974</v>
      </c>
      <c r="D62">
        <v>31163.282800000008</v>
      </c>
      <c r="E62">
        <v>396396.92</v>
      </c>
      <c r="F62">
        <v>282283.36</v>
      </c>
      <c r="G62">
        <v>312056.15999999997</v>
      </c>
      <c r="H62">
        <v>150939.25720000002</v>
      </c>
    </row>
    <row r="63" spans="2:28" x14ac:dyDescent="0.35">
      <c r="B63">
        <v>2028</v>
      </c>
      <c r="C63">
        <v>342052.59999999974</v>
      </c>
      <c r="D63">
        <v>30854.855200000009</v>
      </c>
      <c r="E63">
        <v>389907.37999999995</v>
      </c>
      <c r="F63">
        <v>279794.53999999998</v>
      </c>
      <c r="G63">
        <v>304450.13999999996</v>
      </c>
      <c r="H63">
        <v>147921.50480000002</v>
      </c>
    </row>
    <row r="64" spans="2:28" x14ac:dyDescent="0.35">
      <c r="B64">
        <v>2029</v>
      </c>
      <c r="C64">
        <v>342052.59999999974</v>
      </c>
      <c r="D64">
        <v>30546.42760000001</v>
      </c>
      <c r="E64">
        <v>383417.83999999991</v>
      </c>
      <c r="F64">
        <v>277305.71999999997</v>
      </c>
      <c r="G64">
        <v>296844.11999999994</v>
      </c>
      <c r="H64">
        <v>144903.75240000003</v>
      </c>
    </row>
    <row r="65" spans="2:8" x14ac:dyDescent="0.35">
      <c r="B65">
        <v>2030</v>
      </c>
      <c r="C65">
        <v>342052.59999999974</v>
      </c>
      <c r="D65">
        <v>30238</v>
      </c>
      <c r="E65">
        <v>376928.3</v>
      </c>
      <c r="F65">
        <v>274816.89999999997</v>
      </c>
      <c r="G65">
        <v>289238.10000000003</v>
      </c>
      <c r="H65">
        <v>141886</v>
      </c>
    </row>
    <row r="66" spans="2:8" x14ac:dyDescent="0.35">
      <c r="B66">
        <v>2031</v>
      </c>
      <c r="C66">
        <v>342052.59999999974</v>
      </c>
      <c r="D66">
        <v>29929.572399999997</v>
      </c>
      <c r="E66">
        <v>370438.75999999995</v>
      </c>
      <c r="F66">
        <v>272328.07999999996</v>
      </c>
      <c r="G66">
        <v>281632.08</v>
      </c>
      <c r="H66">
        <v>139585.58599999998</v>
      </c>
    </row>
    <row r="67" spans="2:8" x14ac:dyDescent="0.35">
      <c r="B67">
        <v>2032</v>
      </c>
      <c r="C67">
        <v>342052.59999999974</v>
      </c>
      <c r="D67">
        <v>29621.144799999995</v>
      </c>
      <c r="E67">
        <v>363949.21999999991</v>
      </c>
      <c r="F67">
        <v>269839.25999999995</v>
      </c>
      <c r="G67">
        <v>274026.06</v>
      </c>
      <c r="H67">
        <v>137285.17199999996</v>
      </c>
    </row>
    <row r="68" spans="2:8" x14ac:dyDescent="0.35">
      <c r="B68">
        <v>2033</v>
      </c>
      <c r="C68">
        <v>342052.59999999974</v>
      </c>
      <c r="D68">
        <v>29312.717199999992</v>
      </c>
      <c r="E68">
        <v>357459.67999999988</v>
      </c>
      <c r="F68">
        <v>267350.43999999994</v>
      </c>
      <c r="G68">
        <v>266420.03999999998</v>
      </c>
      <c r="H68">
        <v>134984.75799999994</v>
      </c>
    </row>
    <row r="69" spans="2:8" x14ac:dyDescent="0.35">
      <c r="B69">
        <v>2034</v>
      </c>
      <c r="C69">
        <v>342052.59999999974</v>
      </c>
      <c r="D69">
        <v>29004.289599999989</v>
      </c>
      <c r="E69">
        <v>350970.13999999984</v>
      </c>
      <c r="F69">
        <v>264861.61999999994</v>
      </c>
      <c r="G69">
        <v>258814.02</v>
      </c>
      <c r="H69">
        <v>132684.34399999992</v>
      </c>
    </row>
    <row r="70" spans="2:8" x14ac:dyDescent="0.35">
      <c r="B70">
        <v>2035</v>
      </c>
      <c r="C70">
        <v>342052.59999999974</v>
      </c>
      <c r="D70">
        <v>28695.861999999986</v>
      </c>
      <c r="E70">
        <v>344480.5999999998</v>
      </c>
      <c r="F70">
        <v>262372.79999999993</v>
      </c>
      <c r="G70">
        <v>251208</v>
      </c>
      <c r="H70">
        <v>130383.92999999991</v>
      </c>
    </row>
    <row r="71" spans="2:8" x14ac:dyDescent="0.35">
      <c r="B71">
        <v>2036</v>
      </c>
      <c r="C71">
        <v>342052.59999999974</v>
      </c>
      <c r="D71">
        <v>28387.434399999984</v>
      </c>
      <c r="E71">
        <v>337991.05999999976</v>
      </c>
      <c r="F71">
        <v>259883.97999999992</v>
      </c>
      <c r="G71">
        <v>243601.98</v>
      </c>
      <c r="H71">
        <v>128083.51599999989</v>
      </c>
    </row>
    <row r="72" spans="2:8" x14ac:dyDescent="0.35">
      <c r="B72">
        <v>2037</v>
      </c>
      <c r="C72">
        <v>342052.59999999974</v>
      </c>
      <c r="D72">
        <v>28079.006799999981</v>
      </c>
      <c r="E72">
        <v>331501.51999999973</v>
      </c>
      <c r="F72">
        <v>257395.15999999992</v>
      </c>
      <c r="G72">
        <v>235995.96000000002</v>
      </c>
      <c r="H72">
        <v>125783.10199999987</v>
      </c>
    </row>
    <row r="73" spans="2:8" x14ac:dyDescent="0.35">
      <c r="B73">
        <v>2038</v>
      </c>
      <c r="C73">
        <v>342052.59999999974</v>
      </c>
      <c r="D73">
        <v>27770.579199999978</v>
      </c>
      <c r="E73">
        <v>325011.97999999969</v>
      </c>
      <c r="F73">
        <v>254906.33999999991</v>
      </c>
      <c r="G73">
        <v>228389.94000000003</v>
      </c>
      <c r="H73">
        <v>123482.68799999985</v>
      </c>
    </row>
    <row r="74" spans="2:8" x14ac:dyDescent="0.35">
      <c r="B74">
        <v>2039</v>
      </c>
      <c r="C74">
        <v>342052.59999999974</v>
      </c>
      <c r="D74">
        <v>27462.151599999976</v>
      </c>
      <c r="E74">
        <v>318522.43999999965</v>
      </c>
      <c r="F74">
        <v>252417.5199999999</v>
      </c>
      <c r="G74">
        <v>220783.92000000004</v>
      </c>
      <c r="H74">
        <v>121182.27399999983</v>
      </c>
    </row>
    <row r="75" spans="2:8" x14ac:dyDescent="0.35">
      <c r="B75">
        <v>2040</v>
      </c>
      <c r="C75">
        <v>342052.59999999974</v>
      </c>
      <c r="D75">
        <v>27153.723999999973</v>
      </c>
      <c r="E75">
        <v>312032.89999999962</v>
      </c>
      <c r="F75">
        <v>249928.6999999999</v>
      </c>
      <c r="G75">
        <v>213177.90000000005</v>
      </c>
      <c r="H75">
        <v>118881.85999999981</v>
      </c>
    </row>
    <row r="76" spans="2:8" x14ac:dyDescent="0.35">
      <c r="B76">
        <f>B75+1</f>
        <v>2041</v>
      </c>
      <c r="C76">
        <v>342052.59999999974</v>
      </c>
      <c r="D76">
        <v>27153.723999999973</v>
      </c>
      <c r="E76">
        <v>312032.89999999962</v>
      </c>
      <c r="F76">
        <v>249928.6999999999</v>
      </c>
      <c r="G76">
        <v>213177.90000000005</v>
      </c>
      <c r="H76">
        <v>118881.85999999981</v>
      </c>
    </row>
    <row r="77" spans="2:8" x14ac:dyDescent="0.35">
      <c r="B77">
        <f>B76+1</f>
        <v>2042</v>
      </c>
      <c r="C77">
        <v>342052.59999999974</v>
      </c>
      <c r="D77">
        <v>27153.723999999973</v>
      </c>
      <c r="E77">
        <v>312032.89999999962</v>
      </c>
      <c r="F77">
        <v>249928.6999999999</v>
      </c>
      <c r="G77">
        <v>213177.90000000005</v>
      </c>
      <c r="H77">
        <v>118881.85999999981</v>
      </c>
    </row>
    <row r="78" spans="2:8" x14ac:dyDescent="0.35">
      <c r="B78">
        <f>B77+1</f>
        <v>2043</v>
      </c>
      <c r="C78">
        <v>342052.59999999974</v>
      </c>
      <c r="D78">
        <v>27153.723999999973</v>
      </c>
      <c r="E78">
        <v>312032.89999999962</v>
      </c>
      <c r="F78">
        <v>249928.6999999999</v>
      </c>
      <c r="G78">
        <v>213177.90000000005</v>
      </c>
      <c r="H78">
        <v>118881.85999999981</v>
      </c>
    </row>
    <row r="79" spans="2:8" x14ac:dyDescent="0.35">
      <c r="B79">
        <f>B78+1</f>
        <v>2044</v>
      </c>
      <c r="C79">
        <v>342052.59999999974</v>
      </c>
      <c r="D79">
        <v>27153.723999999973</v>
      </c>
      <c r="E79">
        <v>312032.89999999962</v>
      </c>
      <c r="F79">
        <v>249928.6999999999</v>
      </c>
      <c r="G79">
        <v>213177.90000000005</v>
      </c>
      <c r="H79">
        <v>118881.85999999981</v>
      </c>
    </row>
    <row r="80" spans="2:8" x14ac:dyDescent="0.35">
      <c r="B80">
        <f>B79+1</f>
        <v>2045</v>
      </c>
      <c r="C80">
        <v>342052.59999999974</v>
      </c>
      <c r="D80">
        <v>27153.723999999973</v>
      </c>
      <c r="E80">
        <v>312032.89999999962</v>
      </c>
      <c r="F80">
        <v>249928.6999999999</v>
      </c>
      <c r="G80">
        <v>213177.90000000005</v>
      </c>
      <c r="H80">
        <v>118881.85999999981</v>
      </c>
    </row>
    <row r="83" spans="2:31" x14ac:dyDescent="0.35">
      <c r="B83" s="42"/>
      <c r="C83" s="187" t="s">
        <v>64</v>
      </c>
      <c r="D83" s="187"/>
      <c r="E83" s="187"/>
      <c r="F83" s="187"/>
      <c r="G83" s="187"/>
      <c r="H83" s="187" t="s">
        <v>65</v>
      </c>
      <c r="I83" s="187"/>
      <c r="J83" s="187"/>
      <c r="K83" s="187" t="s">
        <v>66</v>
      </c>
      <c r="L83" s="187"/>
      <c r="M83" s="187"/>
      <c r="N83" s="187"/>
      <c r="O83" s="187"/>
      <c r="P83" s="187" t="s">
        <v>67</v>
      </c>
      <c r="Q83" s="187"/>
      <c r="R83" s="187"/>
      <c r="S83" s="187"/>
      <c r="T83" s="187"/>
      <c r="U83" s="187"/>
      <c r="V83" s="187" t="s">
        <v>68</v>
      </c>
      <c r="W83" s="187"/>
      <c r="X83" s="187"/>
      <c r="Y83" s="187"/>
      <c r="Z83" s="187"/>
      <c r="AA83" s="187" t="s">
        <v>69</v>
      </c>
      <c r="AB83" s="187"/>
      <c r="AC83" s="187"/>
      <c r="AD83" s="187"/>
      <c r="AE83" s="187"/>
    </row>
    <row r="84" spans="2:31" x14ac:dyDescent="0.35">
      <c r="B84" s="42" t="s">
        <v>78</v>
      </c>
      <c r="C84" s="42" t="s">
        <v>70</v>
      </c>
      <c r="D84" s="42" t="s">
        <v>71</v>
      </c>
      <c r="E84" s="42" t="s">
        <v>72</v>
      </c>
      <c r="F84" s="42" t="s">
        <v>73</v>
      </c>
      <c r="G84" s="42" t="s">
        <v>74</v>
      </c>
      <c r="H84" s="42" t="s">
        <v>70</v>
      </c>
      <c r="I84" s="42" t="s">
        <v>72</v>
      </c>
      <c r="J84" s="42" t="s">
        <v>74</v>
      </c>
      <c r="K84" s="42" t="s">
        <v>70</v>
      </c>
      <c r="L84" s="42" t="s">
        <v>75</v>
      </c>
      <c r="M84" s="42" t="s">
        <v>72</v>
      </c>
      <c r="N84" s="42" t="s">
        <v>74</v>
      </c>
      <c r="O84" s="42" t="s">
        <v>76</v>
      </c>
      <c r="P84" s="42" t="s">
        <v>70</v>
      </c>
      <c r="Q84" s="42" t="s">
        <v>77</v>
      </c>
      <c r="R84" s="42" t="s">
        <v>72</v>
      </c>
      <c r="S84" s="42" t="s">
        <v>73</v>
      </c>
      <c r="T84" s="42" t="s">
        <v>74</v>
      </c>
      <c r="U84" s="42" t="s">
        <v>71</v>
      </c>
      <c r="V84" s="42" t="s">
        <v>70</v>
      </c>
      <c r="W84" s="42" t="s">
        <v>77</v>
      </c>
      <c r="X84" s="42" t="s">
        <v>71</v>
      </c>
      <c r="Y84" s="42" t="s">
        <v>72</v>
      </c>
      <c r="Z84" s="42" t="s">
        <v>74</v>
      </c>
      <c r="AA84" s="42" t="s">
        <v>70</v>
      </c>
      <c r="AB84" s="42" t="s">
        <v>77</v>
      </c>
      <c r="AC84" s="42" t="s">
        <v>72</v>
      </c>
      <c r="AD84" s="42" t="s">
        <v>74</v>
      </c>
      <c r="AE84" s="42" t="s">
        <v>71</v>
      </c>
    </row>
    <row r="85" spans="2:31" x14ac:dyDescent="0.3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</row>
    <row r="86" spans="2:31" x14ac:dyDescent="0.35">
      <c r="B86" s="41">
        <v>2020</v>
      </c>
      <c r="C86" s="33">
        <v>1.70549842494939E-2</v>
      </c>
      <c r="D86" s="33">
        <v>9.7543505748386578E-3</v>
      </c>
      <c r="E86" s="33">
        <v>0.95730713852405691</v>
      </c>
      <c r="F86" s="33">
        <v>6.8211751120076589E-3</v>
      </c>
      <c r="G86" s="33">
        <v>9.0623515396028396E-3</v>
      </c>
      <c r="H86" s="33">
        <v>0.18937595979338262</v>
      </c>
      <c r="I86" s="33">
        <v>0.7631927963143933</v>
      </c>
      <c r="J86" s="33">
        <v>4.7431243892223918E-2</v>
      </c>
      <c r="K86" s="33">
        <v>3.0707196029776736E-2</v>
      </c>
      <c r="L86" s="33">
        <v>2.2952853598014841E-2</v>
      </c>
      <c r="M86" s="33">
        <v>0.90818858560794047</v>
      </c>
      <c r="N86" s="33">
        <v>3.8151364764268003E-2</v>
      </c>
      <c r="O86" s="33">
        <v>0</v>
      </c>
      <c r="P86" s="33">
        <v>0.38632686084142392</v>
      </c>
      <c r="Q86" s="33">
        <v>0.11933656957928801</v>
      </c>
      <c r="R86" s="33">
        <v>6.7556634304207136E-2</v>
      </c>
      <c r="S86" s="33">
        <v>6.1893203883495153E-2</v>
      </c>
      <c r="T86" s="33">
        <v>0.34182847896440127</v>
      </c>
      <c r="U86" s="33">
        <v>2.305825242718448E-2</v>
      </c>
      <c r="V86" s="33">
        <v>0.18496732026143792</v>
      </c>
      <c r="W86" s="33">
        <v>3.9215686274509776E-2</v>
      </c>
      <c r="X86" s="33">
        <v>0.20326797385620926</v>
      </c>
      <c r="Y86" s="33">
        <v>5.3267973856209141E-2</v>
      </c>
      <c r="Z86" s="33">
        <v>0.51928104575163403</v>
      </c>
      <c r="AA86" s="33">
        <v>0.4711211778029446</v>
      </c>
      <c r="AB86" s="33">
        <v>3.1143827859569689E-2</v>
      </c>
      <c r="AC86" s="33">
        <v>0.12684031710079277</v>
      </c>
      <c r="AD86" s="33">
        <v>0.35447338618346547</v>
      </c>
      <c r="AE86" s="33">
        <v>1.6421291053227583E-2</v>
      </c>
    </row>
    <row r="87" spans="2:31" x14ac:dyDescent="0.35">
      <c r="B87" s="41">
        <v>2021</v>
      </c>
      <c r="C87" s="33">
        <v>1.7054984249493865E-2</v>
      </c>
      <c r="D87" s="33">
        <v>9.7543505748386578E-3</v>
      </c>
      <c r="E87" s="33">
        <v>0.95730713852405691</v>
      </c>
      <c r="F87" s="33">
        <v>6.8211751120076589E-3</v>
      </c>
      <c r="G87" s="33">
        <v>9.0623515396028396E-3</v>
      </c>
      <c r="H87" s="33">
        <v>0.18937595979338265</v>
      </c>
      <c r="I87" s="33">
        <v>0.76319279631439341</v>
      </c>
      <c r="J87" s="33">
        <v>4.7431243892223918E-2</v>
      </c>
      <c r="K87" s="33">
        <v>3.6245126705653032E-2</v>
      </c>
      <c r="L87" s="33">
        <v>2.8569688109161759E-2</v>
      </c>
      <c r="M87" s="33">
        <v>0.89611257309941517</v>
      </c>
      <c r="N87" s="33">
        <v>3.8255360623781702E-2</v>
      </c>
      <c r="O87" s="33">
        <f>O86+0.001</f>
        <v>1E-3</v>
      </c>
      <c r="P87" s="33">
        <v>0.38655122188056323</v>
      </c>
      <c r="Q87" s="33">
        <v>0.12016507525489563</v>
      </c>
      <c r="R87" s="33">
        <v>6.5949182715649798E-2</v>
      </c>
      <c r="S87" s="33">
        <v>6.3521605437773118E-2</v>
      </c>
      <c r="T87" s="33">
        <v>0.33937530344715972</v>
      </c>
      <c r="U87" s="33">
        <v>2.4437611263958568E-2</v>
      </c>
      <c r="V87" s="33">
        <v>0.18965059120499536</v>
      </c>
      <c r="W87" s="33">
        <v>3.9457951375049802E-2</v>
      </c>
      <c r="X87" s="33">
        <v>0.20751959612063245</v>
      </c>
      <c r="Y87" s="33">
        <v>5.0285638368539928E-2</v>
      </c>
      <c r="Z87" s="33">
        <v>0.51308622293078265</v>
      </c>
      <c r="AA87" s="33">
        <v>0.47437355674351389</v>
      </c>
      <c r="AB87" s="33">
        <v>3.0586731058964235E-2</v>
      </c>
      <c r="AC87" s="33">
        <v>0.12653586963614924</v>
      </c>
      <c r="AD87" s="33">
        <v>0.3447761035391847</v>
      </c>
      <c r="AE87" s="33">
        <v>2.3727739022187996E-2</v>
      </c>
    </row>
    <row r="88" spans="2:31" x14ac:dyDescent="0.35">
      <c r="B88" s="41">
        <v>2022</v>
      </c>
      <c r="C88" s="33">
        <v>1.7054984249493865E-2</v>
      </c>
      <c r="D88" s="33">
        <v>9.7543505748386578E-3</v>
      </c>
      <c r="E88" s="33">
        <v>0.95730713852405691</v>
      </c>
      <c r="F88" s="33">
        <v>6.8211751120076589E-3</v>
      </c>
      <c r="G88" s="33">
        <v>9.0623515396028396E-3</v>
      </c>
      <c r="H88" s="33">
        <v>0.18937595979338268</v>
      </c>
      <c r="I88" s="33">
        <v>0.76319279631439341</v>
      </c>
      <c r="J88" s="33">
        <v>4.7431243892223918E-2</v>
      </c>
      <c r="K88" s="33">
        <v>4.1586883676400156E-2</v>
      </c>
      <c r="L88" s="33">
        <v>3.3987553853518405E-2</v>
      </c>
      <c r="M88" s="33">
        <v>0.88442891335567253</v>
      </c>
      <c r="N88" s="33">
        <v>3.8355672570607985E-2</v>
      </c>
      <c r="O88" s="33">
        <f t="shared" ref="O88:O96" si="1">O87+0.001</f>
        <v>2E-3</v>
      </c>
      <c r="P88" s="33">
        <v>0.38677565555195864</v>
      </c>
      <c r="Q88" s="33">
        <v>0.12099384914211724</v>
      </c>
      <c r="R88" s="33">
        <v>6.4341210747814848E-2</v>
      </c>
      <c r="S88" s="33">
        <v>6.5150534153447737E-2</v>
      </c>
      <c r="T88" s="33">
        <v>0.33692133376497252</v>
      </c>
      <c r="U88" s="33">
        <v>2.5817416639689204E-2</v>
      </c>
      <c r="V88" s="33">
        <v>0.19448946515397086</v>
      </c>
      <c r="W88" s="33">
        <v>3.9708265802269035E-2</v>
      </c>
      <c r="X88" s="33">
        <v>0.21191247974068075</v>
      </c>
      <c r="Y88" s="33">
        <v>4.7204213938411677E-2</v>
      </c>
      <c r="Z88" s="33">
        <v>0.50668557536466785</v>
      </c>
      <c r="AA88" s="33">
        <v>0.47774416722597474</v>
      </c>
      <c r="AB88" s="33">
        <v>3.0009382493443912E-2</v>
      </c>
      <c r="AC88" s="33">
        <v>0.12622035479779939</v>
      </c>
      <c r="AD88" s="33">
        <v>0.33472630210784304</v>
      </c>
      <c r="AE88" s="33">
        <v>3.1299793374938899E-2</v>
      </c>
    </row>
    <row r="89" spans="2:31" x14ac:dyDescent="0.35">
      <c r="B89" s="41">
        <v>2023</v>
      </c>
      <c r="C89" s="33">
        <v>1.7054984249493865E-2</v>
      </c>
      <c r="D89" s="33">
        <v>9.7543505748386578E-3</v>
      </c>
      <c r="E89" s="33">
        <v>0.95730713852405691</v>
      </c>
      <c r="F89" s="33">
        <v>6.8211751120076589E-3</v>
      </c>
      <c r="G89" s="33">
        <v>9.0623515396028396E-3</v>
      </c>
      <c r="H89" s="33">
        <v>0.18937595979338268</v>
      </c>
      <c r="I89" s="33">
        <v>0.76319279631439341</v>
      </c>
      <c r="J89" s="33">
        <v>4.7431243892223918E-2</v>
      </c>
      <c r="K89" s="33">
        <v>4.6742709313264269E-2</v>
      </c>
      <c r="L89" s="33">
        <v>3.9216839134524915E-2</v>
      </c>
      <c r="M89" s="33">
        <v>0.87311712135465647</v>
      </c>
      <c r="N89" s="33">
        <v>3.8452492944496763E-2</v>
      </c>
      <c r="O89" s="33">
        <f t="shared" si="1"/>
        <v>3.0000000000000001E-3</v>
      </c>
      <c r="P89" s="33">
        <v>0.38700016189088565</v>
      </c>
      <c r="Q89" s="33">
        <v>0.12182289137121587</v>
      </c>
      <c r="R89" s="33">
        <v>6.2732718147968283E-2</v>
      </c>
      <c r="S89" s="33">
        <v>6.6779990286546895E-2</v>
      </c>
      <c r="T89" s="33">
        <v>0.33446656953213538</v>
      </c>
      <c r="U89" s="33">
        <v>2.719766877124815E-2</v>
      </c>
      <c r="V89" s="33">
        <v>0.19949182804559817</v>
      </c>
      <c r="W89" s="33">
        <v>3.996703749484961E-2</v>
      </c>
      <c r="X89" s="33">
        <v>0.21645378382090374</v>
      </c>
      <c r="Y89" s="33">
        <v>4.4018678752918566E-2</v>
      </c>
      <c r="Z89" s="33">
        <v>0.50006867188573023</v>
      </c>
      <c r="AA89" s="33">
        <v>0.48123957558862551</v>
      </c>
      <c r="AB89" s="33">
        <v>2.9410657421358236E-2</v>
      </c>
      <c r="AC89" s="33">
        <v>0.12589315792641742</v>
      </c>
      <c r="AD89" s="33">
        <v>0.32430440371617719</v>
      </c>
      <c r="AE89" s="33">
        <v>3.9152205347421566E-2</v>
      </c>
    </row>
    <row r="90" spans="2:31" x14ac:dyDescent="0.35">
      <c r="B90" s="41">
        <v>2024</v>
      </c>
      <c r="C90" s="33">
        <v>1.7054984249493865E-2</v>
      </c>
      <c r="D90" s="33">
        <v>9.7543505748386578E-3</v>
      </c>
      <c r="E90" s="33">
        <v>0.95730713852405691</v>
      </c>
      <c r="F90" s="33">
        <v>6.8211751120076589E-3</v>
      </c>
      <c r="G90" s="33">
        <v>9.0623515396028396E-3</v>
      </c>
      <c r="H90" s="33">
        <v>0.18937595979338268</v>
      </c>
      <c r="I90" s="33">
        <v>0.76319279631439341</v>
      </c>
      <c r="J90" s="33">
        <v>4.7431243892223918E-2</v>
      </c>
      <c r="K90" s="33">
        <v>5.1722145168746986E-2</v>
      </c>
      <c r="L90" s="33">
        <v>4.4267221451687468E-2</v>
      </c>
      <c r="M90" s="33">
        <v>0.8621581137309291</v>
      </c>
      <c r="N90" s="33">
        <v>3.854600092464177E-2</v>
      </c>
      <c r="O90" s="33">
        <f t="shared" si="1"/>
        <v>4.0000000000000001E-3</v>
      </c>
      <c r="P90" s="33">
        <v>0.38722474093264264</v>
      </c>
      <c r="Q90" s="33">
        <v>0.12265220207253896</v>
      </c>
      <c r="R90" s="33">
        <v>6.1123704663212451E-2</v>
      </c>
      <c r="S90" s="33">
        <v>6.8409974093264284E-2</v>
      </c>
      <c r="T90" s="33">
        <v>0.33201101036269437</v>
      </c>
      <c r="U90" s="33">
        <v>2.8578367875647631E-2</v>
      </c>
      <c r="V90" s="33">
        <v>0.20466610785135519</v>
      </c>
      <c r="W90" s="33">
        <v>4.0234702430846613E-2</v>
      </c>
      <c r="X90" s="33">
        <v>0.22115115954177142</v>
      </c>
      <c r="Y90" s="33">
        <v>4.0723665828443709E-2</v>
      </c>
      <c r="Z90" s="33">
        <v>0.49322436434758338</v>
      </c>
      <c r="AA90" s="33">
        <v>0.48486684358252119</v>
      </c>
      <c r="AB90" s="33">
        <v>2.8789346242291208E-2</v>
      </c>
      <c r="AC90" s="33">
        <v>0.1255536179882665</v>
      </c>
      <c r="AD90" s="33">
        <v>0.31348935306983305</v>
      </c>
      <c r="AE90" s="33">
        <v>4.7300839117087878E-2</v>
      </c>
    </row>
    <row r="91" spans="2:31" x14ac:dyDescent="0.35">
      <c r="B91" s="41">
        <v>2025</v>
      </c>
      <c r="C91" s="33">
        <v>1.7054984249493865E-2</v>
      </c>
      <c r="D91" s="33">
        <v>9.7543505748386578E-3</v>
      </c>
      <c r="E91" s="33">
        <v>0.95730713852405691</v>
      </c>
      <c r="F91" s="33">
        <v>6.8211751120076589E-3</v>
      </c>
      <c r="G91" s="33">
        <v>9.0623515396028396E-3</v>
      </c>
      <c r="H91" s="33">
        <v>0.18937595979338268</v>
      </c>
      <c r="I91" s="33">
        <v>0.7631927963143933</v>
      </c>
      <c r="J91" s="33">
        <v>4.7431243892223918E-2</v>
      </c>
      <c r="K91" s="33">
        <v>5.6534090909090749E-2</v>
      </c>
      <c r="L91" s="33">
        <v>4.914772727272728E-2</v>
      </c>
      <c r="M91" s="33">
        <v>0.85153409090909082</v>
      </c>
      <c r="N91" s="33">
        <v>3.8636363636363712E-2</v>
      </c>
      <c r="O91" s="33">
        <f t="shared" si="1"/>
        <v>5.0000000000000001E-3</v>
      </c>
      <c r="P91" s="33">
        <v>0.38744939271255063</v>
      </c>
      <c r="Q91" s="33">
        <v>0.12348178137651825</v>
      </c>
      <c r="R91" s="33">
        <v>5.9514170040485835E-2</v>
      </c>
      <c r="S91" s="33">
        <v>7.0040485829959517E-2</v>
      </c>
      <c r="T91" s="33">
        <v>0.32955465587044541</v>
      </c>
      <c r="U91" s="33">
        <v>2.9959514170040426E-2</v>
      </c>
      <c r="V91" s="33">
        <v>0.21002132196162046</v>
      </c>
      <c r="W91" s="33">
        <v>4.0511727078891273E-2</v>
      </c>
      <c r="X91" s="33">
        <v>0.22601279317697223</v>
      </c>
      <c r="Y91" s="33">
        <v>3.7313432835820892E-2</v>
      </c>
      <c r="Z91" s="33">
        <v>0.48614072494669508</v>
      </c>
      <c r="AA91" s="33">
        <v>0.48863357599164592</v>
      </c>
      <c r="AB91" s="33">
        <v>2.8144146340248744E-2</v>
      </c>
      <c r="AC91" s="33">
        <v>0.12520102311758763</v>
      </c>
      <c r="AD91" s="33">
        <v>0.30225847576921278</v>
      </c>
      <c r="AE91" s="33">
        <v>5.5762778781304694E-2</v>
      </c>
    </row>
    <row r="92" spans="2:31" x14ac:dyDescent="0.35">
      <c r="B92" s="41">
        <v>2026</v>
      </c>
      <c r="C92" s="33">
        <v>1.7054984249493865E-2</v>
      </c>
      <c r="D92" s="33">
        <v>9.7543505748386578E-3</v>
      </c>
      <c r="E92" s="33">
        <v>0.95730713852405691</v>
      </c>
      <c r="F92" s="33">
        <v>6.8211751120076589E-3</v>
      </c>
      <c r="G92" s="33">
        <v>9.0623515396028396E-3</v>
      </c>
      <c r="H92" s="33">
        <v>0.18937595979338268</v>
      </c>
      <c r="I92" s="33">
        <v>0.7631927963143933</v>
      </c>
      <c r="J92" s="33">
        <v>4.7431243892223918E-2</v>
      </c>
      <c r="K92" s="33">
        <v>6.8356330465908291E-2</v>
      </c>
      <c r="L92" s="33">
        <v>5.8657121413313341E-2</v>
      </c>
      <c r="M92" s="33">
        <v>0.81906783672998085</v>
      </c>
      <c r="N92" s="33">
        <v>4.8611512037411299E-2</v>
      </c>
      <c r="O92" s="33">
        <f t="shared" si="1"/>
        <v>6.0000000000000001E-3</v>
      </c>
      <c r="P92" s="33">
        <v>0.39026382422608841</v>
      </c>
      <c r="Q92" s="33">
        <v>0.12162051784693297</v>
      </c>
      <c r="R92" s="33">
        <v>5.8564077432001968E-2</v>
      </c>
      <c r="S92" s="33">
        <v>6.7630482724822361E-2</v>
      </c>
      <c r="T92" s="33">
        <v>0.32875929102344204</v>
      </c>
      <c r="U92" s="33">
        <v>3.316180674671234E-2</v>
      </c>
      <c r="V92" s="33">
        <v>0.21290838972567852</v>
      </c>
      <c r="W92" s="33">
        <v>4.2057774867205154E-2</v>
      </c>
      <c r="X92" s="33">
        <v>0.23917630793858691</v>
      </c>
      <c r="Y92" s="33">
        <v>3.2598413737902933E-2</v>
      </c>
      <c r="Z92" s="33">
        <v>0.47325911373062651</v>
      </c>
      <c r="AA92" s="33">
        <v>0.49254797385357885</v>
      </c>
      <c r="AB92" s="33">
        <v>2.7473652967542918E-2</v>
      </c>
      <c r="AC92" s="33">
        <v>0.12483460563473953</v>
      </c>
      <c r="AD92" s="33">
        <v>0.29058731962690665</v>
      </c>
      <c r="AE92" s="33">
        <v>6.455644791723171E-2</v>
      </c>
    </row>
    <row r="93" spans="2:31" x14ac:dyDescent="0.35">
      <c r="B93" s="41">
        <v>2027</v>
      </c>
      <c r="C93" s="33">
        <v>1.7054984249493865E-2</v>
      </c>
      <c r="D93" s="33">
        <v>9.7543505748386578E-3</v>
      </c>
      <c r="E93" s="33">
        <v>0.95730713852405691</v>
      </c>
      <c r="F93" s="33">
        <v>6.8211751120076589E-3</v>
      </c>
      <c r="G93" s="33">
        <v>9.0623515396028396E-3</v>
      </c>
      <c r="H93" s="33">
        <v>0.18937595979338268</v>
      </c>
      <c r="I93" s="33">
        <v>0.7631927963143933</v>
      </c>
      <c r="J93" s="33">
        <v>4.7431243892223918E-2</v>
      </c>
      <c r="K93" s="33">
        <v>8.056566130735815E-2</v>
      </c>
      <c r="L93" s="33">
        <v>6.8477878183311858E-2</v>
      </c>
      <c r="M93" s="33">
        <v>0.7855712944490082</v>
      </c>
      <c r="N93" s="33">
        <v>5.8913273090012971E-2</v>
      </c>
      <c r="O93" s="33">
        <f t="shared" si="1"/>
        <v>7.0000000000000001E-3</v>
      </c>
      <c r="P93" s="33">
        <v>0.39312788398154253</v>
      </c>
      <c r="Q93" s="33">
        <v>0.11972643375082402</v>
      </c>
      <c r="R93" s="33">
        <v>5.7597231377719188E-2</v>
      </c>
      <c r="S93" s="33">
        <v>6.51779828609097E-2</v>
      </c>
      <c r="T93" s="33">
        <v>0.32794990112063288</v>
      </c>
      <c r="U93" s="33">
        <v>3.642056690837172E-2</v>
      </c>
      <c r="V93" s="33">
        <v>0.21593619558735835</v>
      </c>
      <c r="W93" s="33">
        <v>4.3679189028026283E-2</v>
      </c>
      <c r="X93" s="33">
        <v>0.25298151460942159</v>
      </c>
      <c r="Y93" s="33">
        <v>2.765354800238521E-2</v>
      </c>
      <c r="Z93" s="33">
        <v>0.45974955277280871</v>
      </c>
      <c r="AA93" s="33">
        <v>0.49661889406445581</v>
      </c>
      <c r="AB93" s="33">
        <v>2.6776349035116557E-2</v>
      </c>
      <c r="AC93" s="33">
        <v>0.12445353646671978</v>
      </c>
      <c r="AD93" s="33">
        <v>0.27844947694973105</v>
      </c>
      <c r="AE93" s="33">
        <v>7.3701743483976359E-2</v>
      </c>
    </row>
    <row r="94" spans="2:31" x14ac:dyDescent="0.35">
      <c r="B94" s="41">
        <v>2028</v>
      </c>
      <c r="C94" s="33">
        <v>1.7054984249493865E-2</v>
      </c>
      <c r="D94" s="33">
        <v>9.7543505748386578E-3</v>
      </c>
      <c r="E94" s="33">
        <v>0.95730713852405691</v>
      </c>
      <c r="F94" s="33">
        <v>6.8211751120076589E-3</v>
      </c>
      <c r="G94" s="33">
        <v>9.0623515396028396E-3</v>
      </c>
      <c r="H94" s="33">
        <v>0.1893759597933827</v>
      </c>
      <c r="I94" s="33">
        <v>0.7631927963143933</v>
      </c>
      <c r="J94" s="33">
        <v>4.7431243892223918E-2</v>
      </c>
      <c r="K94" s="33">
        <v>9.3181411441865883E-2</v>
      </c>
      <c r="L94" s="33">
        <v>7.8625544353636057E-2</v>
      </c>
      <c r="M94" s="33">
        <v>0.75099302034242066</v>
      </c>
      <c r="N94" s="33">
        <v>6.9557955019984546E-2</v>
      </c>
      <c r="O94" s="33">
        <f t="shared" si="1"/>
        <v>8.0000000000000002E-3</v>
      </c>
      <c r="P94" s="33">
        <v>0.39604289633385981</v>
      </c>
      <c r="Q94" s="33">
        <v>0.11779865325463466</v>
      </c>
      <c r="R94" s="33">
        <v>5.6613184803391815E-2</v>
      </c>
      <c r="S94" s="33">
        <v>6.2681852190539553E-2</v>
      </c>
      <c r="T94" s="33">
        <v>0.32712611189625085</v>
      </c>
      <c r="U94" s="33">
        <v>3.9737301521323397E-2</v>
      </c>
      <c r="V94" s="33">
        <v>0.21911528764611501</v>
      </c>
      <c r="W94" s="33">
        <v>4.5381618152647324E-2</v>
      </c>
      <c r="X94" s="33">
        <v>0.26747650699060288</v>
      </c>
      <c r="Y94" s="33">
        <v>2.2461608984643593E-2</v>
      </c>
      <c r="Z94" s="33">
        <v>0.44556497822599145</v>
      </c>
      <c r="AA94" s="33">
        <v>0.5008559162799493</v>
      </c>
      <c r="AB94" s="33">
        <v>2.6050593653139918E-2</v>
      </c>
      <c r="AC94" s="33">
        <v>0.12405691888472314</v>
      </c>
      <c r="AD94" s="33">
        <v>0.26581638506697991</v>
      </c>
      <c r="AE94" s="33">
        <v>8.3220186115207234E-2</v>
      </c>
    </row>
    <row r="95" spans="2:31" x14ac:dyDescent="0.35">
      <c r="B95" s="41">
        <v>2029</v>
      </c>
      <c r="C95" s="33">
        <v>1.7054984249493865E-2</v>
      </c>
      <c r="D95" s="33">
        <v>9.7543505748386578E-3</v>
      </c>
      <c r="E95" s="33">
        <v>0.95730713852405691</v>
      </c>
      <c r="F95" s="33">
        <v>6.8211751120076589E-3</v>
      </c>
      <c r="G95" s="33">
        <v>9.0623515396028396E-3</v>
      </c>
      <c r="H95" s="33">
        <v>0.1893759597933827</v>
      </c>
      <c r="I95" s="33">
        <v>0.7631927963143933</v>
      </c>
      <c r="J95" s="33">
        <v>4.7431243892223918E-2</v>
      </c>
      <c r="K95" s="33">
        <v>0.10622421742295547</v>
      </c>
      <c r="L95" s="33">
        <v>8.9116719242902293E-2</v>
      </c>
      <c r="M95" s="33">
        <v>0.71527808784275648</v>
      </c>
      <c r="N95" s="33">
        <v>8.0562970152875571E-2</v>
      </c>
      <c r="O95" s="33">
        <f t="shared" si="1"/>
        <v>9.0000000000000011E-3</v>
      </c>
      <c r="P95" s="33">
        <v>0.3990102331823519</v>
      </c>
      <c r="Q95" s="33">
        <v>0.11583626908236877</v>
      </c>
      <c r="R95" s="33">
        <v>5.5611474584801215E-2</v>
      </c>
      <c r="S95" s="33">
        <v>6.0140915953699067E-2</v>
      </c>
      <c r="T95" s="33">
        <v>0.32628753564838126</v>
      </c>
      <c r="U95" s="33">
        <v>4.3113571548397844E-2</v>
      </c>
      <c r="V95" s="33">
        <v>0.22245729509481268</v>
      </c>
      <c r="W95" s="33">
        <v>4.7171289766494359E-2</v>
      </c>
      <c r="X95" s="33">
        <v>0.28271430810217846</v>
      </c>
      <c r="Y95" s="33">
        <v>1.7003604450713052E-2</v>
      </c>
      <c r="Z95" s="33">
        <v>0.43065350258580182</v>
      </c>
      <c r="AA95" s="33">
        <v>0.50526941817589099</v>
      </c>
      <c r="AB95" s="33">
        <v>2.5294609239692414E-2</v>
      </c>
      <c r="AC95" s="33">
        <v>0.12364378145917342</v>
      </c>
      <c r="AD95" s="33">
        <v>0.25265710193359292</v>
      </c>
      <c r="AE95" s="33">
        <v>9.3135089191649589E-2</v>
      </c>
    </row>
    <row r="96" spans="2:31" x14ac:dyDescent="0.35">
      <c r="B96" s="41">
        <v>2030</v>
      </c>
      <c r="C96" s="33">
        <v>1.7054984249493865E-2</v>
      </c>
      <c r="D96" s="33">
        <v>9.7543505748386578E-3</v>
      </c>
      <c r="E96" s="33">
        <v>0.95730713852405691</v>
      </c>
      <c r="F96" s="33">
        <v>6.8211751120076589E-3</v>
      </c>
      <c r="G96" s="33">
        <v>9.0623515396028396E-3</v>
      </c>
      <c r="H96" s="33">
        <v>0.18937595979338265</v>
      </c>
      <c r="I96" s="33">
        <v>0.76319279631439352</v>
      </c>
      <c r="J96" s="33">
        <v>4.7431243892223918E-2</v>
      </c>
      <c r="K96" s="33">
        <v>0.11971613699475457</v>
      </c>
      <c r="L96" s="33">
        <v>9.9969145325516887E-2</v>
      </c>
      <c r="M96" s="33">
        <v>0.67836778771983952</v>
      </c>
      <c r="N96" s="33">
        <v>9.1946929959888929E-2</v>
      </c>
      <c r="O96" s="33">
        <f t="shared" si="1"/>
        <v>1.0000000000000002E-2</v>
      </c>
      <c r="P96" s="33">
        <v>0.40203131612357179</v>
      </c>
      <c r="Q96" s="33">
        <v>0.11383834109183248</v>
      </c>
      <c r="R96" s="33">
        <v>5.4591620820990262E-2</v>
      </c>
      <c r="S96" s="33">
        <v>5.7553956834532384E-2</v>
      </c>
      <c r="T96" s="33">
        <v>0.3254337706305544</v>
      </c>
      <c r="U96" s="33">
        <v>4.6550994498518745E-2</v>
      </c>
      <c r="V96" s="33">
        <v>0.22597507036590264</v>
      </c>
      <c r="W96" s="33">
        <v>4.9055086449537683E-2</v>
      </c>
      <c r="X96" s="33">
        <v>0.29875351829513463</v>
      </c>
      <c r="Y96" s="33">
        <v>1.1258544431041415E-2</v>
      </c>
      <c r="Z96" s="33">
        <v>0.41495778045838355</v>
      </c>
      <c r="AA96" s="33">
        <v>0.50987066031313821</v>
      </c>
      <c r="AB96" s="33">
        <v>2.4506466984343053E-2</v>
      </c>
      <c r="AC96" s="33">
        <v>0.12321307011572498</v>
      </c>
      <c r="AD96" s="33">
        <v>0.23893805309734514</v>
      </c>
      <c r="AE96" s="33">
        <v>0.10347174948944858</v>
      </c>
    </row>
    <row r="97" spans="2:31" x14ac:dyDescent="0.35">
      <c r="B97" s="41">
        <v>2031</v>
      </c>
      <c r="C97" s="33">
        <v>1.7054984249493865E-2</v>
      </c>
      <c r="D97" s="33">
        <v>9.7543505748386578E-3</v>
      </c>
      <c r="E97" s="33">
        <v>0.95730713852405691</v>
      </c>
      <c r="F97" s="33">
        <v>6.8211751120076589E-3</v>
      </c>
      <c r="G97" s="33">
        <v>9.0623515396028396E-3</v>
      </c>
      <c r="H97" s="33">
        <v>0.18937595979338265</v>
      </c>
      <c r="I97" s="33">
        <v>0.76319279631439496</v>
      </c>
      <c r="J97" s="33">
        <v>4.7431243892223918E-2</v>
      </c>
      <c r="K97" s="33">
        <v>0.11971613699475457</v>
      </c>
      <c r="L97" s="33">
        <v>9.9969145325516887E-2</v>
      </c>
      <c r="M97" s="33">
        <v>0.67836778771983952</v>
      </c>
      <c r="N97" s="33">
        <v>9.1946929959888929E-2</v>
      </c>
      <c r="O97" s="33">
        <v>0.01</v>
      </c>
      <c r="P97" s="33">
        <v>0.40203131612357179</v>
      </c>
      <c r="Q97" s="33">
        <v>0.11383834109183248</v>
      </c>
      <c r="R97" s="33">
        <v>5.4591620820990262E-2</v>
      </c>
      <c r="S97" s="33">
        <v>5.7553956834532384E-2</v>
      </c>
      <c r="T97" s="33">
        <v>0.3254337706305544</v>
      </c>
      <c r="U97" s="33">
        <v>4.6550994498518745E-2</v>
      </c>
      <c r="V97" s="33">
        <v>0.22597507036590264</v>
      </c>
      <c r="W97" s="33">
        <v>4.9055086449537683E-2</v>
      </c>
      <c r="X97" s="33">
        <v>0.29875351829513463</v>
      </c>
      <c r="Y97" s="33">
        <v>1.1258544431041415E-2</v>
      </c>
      <c r="Z97" s="33">
        <v>0.41495778045838355</v>
      </c>
      <c r="AA97" s="33">
        <v>0.50987066031313821</v>
      </c>
      <c r="AB97" s="33">
        <v>2.4506466984343053E-2</v>
      </c>
      <c r="AC97" s="33">
        <v>0.12321307011572498</v>
      </c>
      <c r="AD97" s="33">
        <v>0.23893805309734514</v>
      </c>
      <c r="AE97" s="33">
        <v>0.10347174948944858</v>
      </c>
    </row>
    <row r="98" spans="2:31" x14ac:dyDescent="0.35">
      <c r="B98" s="41">
        <v>2032</v>
      </c>
      <c r="C98" s="33">
        <v>1.7054984249493865E-2</v>
      </c>
      <c r="D98" s="33">
        <v>9.7543505748386578E-3</v>
      </c>
      <c r="E98" s="33">
        <v>0.95730713852405691</v>
      </c>
      <c r="F98" s="33">
        <v>6.8211751120076589E-3</v>
      </c>
      <c r="G98" s="33">
        <v>9.0623515396028396E-3</v>
      </c>
      <c r="H98" s="33">
        <v>0.18937595979338265</v>
      </c>
      <c r="I98" s="33">
        <v>0.76319279631439496</v>
      </c>
      <c r="J98" s="33">
        <v>4.7431243892223918E-2</v>
      </c>
      <c r="K98" s="33">
        <v>0.11971613699475457</v>
      </c>
      <c r="L98" s="33">
        <v>9.9969145325516887E-2</v>
      </c>
      <c r="M98" s="33">
        <v>0.67836778771983952</v>
      </c>
      <c r="N98" s="33">
        <v>9.1946929959888929E-2</v>
      </c>
      <c r="O98" s="33">
        <v>0.01</v>
      </c>
      <c r="P98" s="33">
        <v>0.40203131612357179</v>
      </c>
      <c r="Q98" s="33">
        <v>0.11383834109183248</v>
      </c>
      <c r="R98" s="33">
        <v>5.4591620820990262E-2</v>
      </c>
      <c r="S98" s="33">
        <v>5.7553956834532384E-2</v>
      </c>
      <c r="T98" s="33">
        <v>0.3254337706305544</v>
      </c>
      <c r="U98" s="33">
        <v>4.6550994498518745E-2</v>
      </c>
      <c r="V98" s="33">
        <v>0.22597507036590264</v>
      </c>
      <c r="W98" s="33">
        <v>4.9055086449537683E-2</v>
      </c>
      <c r="X98" s="33">
        <v>0.29875351829513463</v>
      </c>
      <c r="Y98" s="33">
        <v>1.1258544431041415E-2</v>
      </c>
      <c r="Z98" s="33">
        <v>0.41495778045838355</v>
      </c>
      <c r="AA98" s="33">
        <v>0.50987066031313821</v>
      </c>
      <c r="AB98" s="33">
        <v>2.4506466984343053E-2</v>
      </c>
      <c r="AC98" s="33">
        <v>0.12321307011572498</v>
      </c>
      <c r="AD98" s="33">
        <v>0.23893805309734514</v>
      </c>
      <c r="AE98" s="33">
        <v>0.10347174948944858</v>
      </c>
    </row>
    <row r="99" spans="2:31" x14ac:dyDescent="0.35">
      <c r="B99" s="41">
        <v>2033</v>
      </c>
      <c r="C99" s="33">
        <v>1.7054984249493865E-2</v>
      </c>
      <c r="D99" s="33">
        <v>9.7543505748386578E-3</v>
      </c>
      <c r="E99" s="33">
        <v>0.95730713852405691</v>
      </c>
      <c r="F99" s="33">
        <v>6.8211751120076589E-3</v>
      </c>
      <c r="G99" s="33">
        <v>9.0623515396028396E-3</v>
      </c>
      <c r="H99" s="33">
        <v>0.18937595979338265</v>
      </c>
      <c r="I99" s="33">
        <v>0.76319279631439496</v>
      </c>
      <c r="J99" s="33">
        <v>4.7431243892223918E-2</v>
      </c>
      <c r="K99" s="33">
        <v>0.11971613699475457</v>
      </c>
      <c r="L99" s="33">
        <v>9.9969145325516887E-2</v>
      </c>
      <c r="M99" s="33">
        <v>0.67836778771983952</v>
      </c>
      <c r="N99" s="33">
        <v>9.1946929959888929E-2</v>
      </c>
      <c r="O99" s="33">
        <v>0.01</v>
      </c>
      <c r="P99" s="33">
        <v>0.40203131612357179</v>
      </c>
      <c r="Q99" s="33">
        <v>0.11383834109183248</v>
      </c>
      <c r="R99" s="33">
        <v>5.4591620820990262E-2</v>
      </c>
      <c r="S99" s="33">
        <v>5.7553956834532384E-2</v>
      </c>
      <c r="T99" s="33">
        <v>0.3254337706305544</v>
      </c>
      <c r="U99" s="33">
        <v>4.6550994498518745E-2</v>
      </c>
      <c r="V99" s="33">
        <v>0.22597507036590264</v>
      </c>
      <c r="W99" s="33">
        <v>4.9055086449537683E-2</v>
      </c>
      <c r="X99" s="33">
        <v>0.29875351829513463</v>
      </c>
      <c r="Y99" s="33">
        <v>1.1258544431041415E-2</v>
      </c>
      <c r="Z99" s="33">
        <v>0.41495778045838355</v>
      </c>
      <c r="AA99" s="33">
        <v>0.50987066031313821</v>
      </c>
      <c r="AB99" s="33">
        <v>2.4506466984343053E-2</v>
      </c>
      <c r="AC99" s="33">
        <v>0.12321307011572498</v>
      </c>
      <c r="AD99" s="33">
        <v>0.23893805309734514</v>
      </c>
      <c r="AE99" s="33">
        <v>0.10347174948944858</v>
      </c>
    </row>
    <row r="100" spans="2:31" x14ac:dyDescent="0.35">
      <c r="B100" s="41">
        <v>2034</v>
      </c>
      <c r="C100" s="33">
        <v>1.7054984249493865E-2</v>
      </c>
      <c r="D100" s="33">
        <v>9.7543505748386578E-3</v>
      </c>
      <c r="E100" s="33">
        <v>0.95730713852405691</v>
      </c>
      <c r="F100" s="33">
        <v>6.8211751120076589E-3</v>
      </c>
      <c r="G100" s="33">
        <v>9.0623515396028396E-3</v>
      </c>
      <c r="H100" s="33">
        <v>0.18937595979338265</v>
      </c>
      <c r="I100" s="33">
        <v>0.76319279631439496</v>
      </c>
      <c r="J100" s="33">
        <v>4.7431243892223918E-2</v>
      </c>
      <c r="K100" s="33">
        <v>0.11971613699475457</v>
      </c>
      <c r="L100" s="33">
        <v>9.9969145325516887E-2</v>
      </c>
      <c r="M100" s="33">
        <v>0.67836778771983952</v>
      </c>
      <c r="N100" s="33">
        <v>9.1946929959888929E-2</v>
      </c>
      <c r="O100" s="33">
        <v>0.01</v>
      </c>
      <c r="P100" s="33">
        <v>0.40203131612357179</v>
      </c>
      <c r="Q100" s="33">
        <v>0.11383834109183248</v>
      </c>
      <c r="R100" s="33">
        <v>5.4591620820990262E-2</v>
      </c>
      <c r="S100" s="33">
        <v>5.7553956834532384E-2</v>
      </c>
      <c r="T100" s="33">
        <v>0.3254337706305544</v>
      </c>
      <c r="U100" s="33">
        <v>4.6550994498518745E-2</v>
      </c>
      <c r="V100" s="33">
        <v>0.22597507036590264</v>
      </c>
      <c r="W100" s="33">
        <v>4.9055086449537683E-2</v>
      </c>
      <c r="X100" s="33">
        <v>0.29875351829513463</v>
      </c>
      <c r="Y100" s="33">
        <v>1.1258544431041415E-2</v>
      </c>
      <c r="Z100" s="33">
        <v>0.41495778045838355</v>
      </c>
      <c r="AA100" s="33">
        <v>0.50987066031313821</v>
      </c>
      <c r="AB100" s="33">
        <v>2.4506466984343053E-2</v>
      </c>
      <c r="AC100" s="33">
        <v>0.12321307011572498</v>
      </c>
      <c r="AD100" s="33">
        <v>0.23893805309734514</v>
      </c>
      <c r="AE100" s="33">
        <v>0.10347174948944858</v>
      </c>
    </row>
    <row r="101" spans="2:31" x14ac:dyDescent="0.35">
      <c r="B101" s="41">
        <v>2035</v>
      </c>
      <c r="C101" s="33">
        <v>1.7054984249493865E-2</v>
      </c>
      <c r="D101" s="33">
        <v>9.7543505748386578E-3</v>
      </c>
      <c r="E101" s="33">
        <v>0.95730713852405691</v>
      </c>
      <c r="F101" s="33">
        <v>6.8211751120076589E-3</v>
      </c>
      <c r="G101" s="33">
        <v>9.0623515396028396E-3</v>
      </c>
      <c r="H101" s="33">
        <v>0.18937595979338265</v>
      </c>
      <c r="I101" s="33">
        <v>0.76319279631439496</v>
      </c>
      <c r="J101" s="33">
        <v>4.7431243892223918E-2</v>
      </c>
      <c r="K101" s="33">
        <v>0.11971613699475457</v>
      </c>
      <c r="L101" s="33">
        <v>9.9969145325516887E-2</v>
      </c>
      <c r="M101" s="33">
        <v>0.67836778771983952</v>
      </c>
      <c r="N101" s="33">
        <v>9.1946929959888929E-2</v>
      </c>
      <c r="O101" s="33">
        <v>0.01</v>
      </c>
      <c r="P101" s="33">
        <v>0.40203131612357179</v>
      </c>
      <c r="Q101" s="33">
        <v>0.11383834109183248</v>
      </c>
      <c r="R101" s="33">
        <v>5.4591620820990262E-2</v>
      </c>
      <c r="S101" s="33">
        <v>5.7553956834532384E-2</v>
      </c>
      <c r="T101" s="33">
        <v>0.3254337706305544</v>
      </c>
      <c r="U101" s="33">
        <v>4.6550994498518745E-2</v>
      </c>
      <c r="V101" s="33">
        <v>0.22597507036590264</v>
      </c>
      <c r="W101" s="33">
        <v>4.9055086449537683E-2</v>
      </c>
      <c r="X101" s="33">
        <v>0.29875351829513463</v>
      </c>
      <c r="Y101" s="33">
        <v>1.1258544431041415E-2</v>
      </c>
      <c r="Z101" s="33">
        <v>0.41495778045838355</v>
      </c>
      <c r="AA101" s="33">
        <v>0.50987066031313821</v>
      </c>
      <c r="AB101" s="33">
        <v>2.4506466984343053E-2</v>
      </c>
      <c r="AC101" s="33">
        <v>0.12321307011572498</v>
      </c>
      <c r="AD101" s="33">
        <v>0.23893805309734514</v>
      </c>
      <c r="AE101" s="33">
        <v>0.10347174948944858</v>
      </c>
    </row>
    <row r="102" spans="2:31" x14ac:dyDescent="0.35">
      <c r="B102" s="41">
        <v>2036</v>
      </c>
      <c r="C102" s="33">
        <v>1.7054984249493865E-2</v>
      </c>
      <c r="D102" s="33">
        <v>9.7543505748386578E-3</v>
      </c>
      <c r="E102" s="33">
        <v>0.95730713852405691</v>
      </c>
      <c r="F102" s="33">
        <v>6.8211751120076589E-3</v>
      </c>
      <c r="G102" s="33">
        <v>9.0623515396028396E-3</v>
      </c>
      <c r="H102" s="33">
        <v>0.18937595979338265</v>
      </c>
      <c r="I102" s="33">
        <v>0.76319279631439496</v>
      </c>
      <c r="J102" s="33">
        <v>4.7431243892223918E-2</v>
      </c>
      <c r="K102" s="33">
        <v>0.11971613699475457</v>
      </c>
      <c r="L102" s="33">
        <v>9.9969145325516887E-2</v>
      </c>
      <c r="M102" s="33">
        <v>0.67836778771983952</v>
      </c>
      <c r="N102" s="33">
        <v>9.1946929959888929E-2</v>
      </c>
      <c r="O102" s="33">
        <v>0.01</v>
      </c>
      <c r="P102" s="33">
        <v>0.40203131612357179</v>
      </c>
      <c r="Q102" s="33">
        <v>0.11383834109183248</v>
      </c>
      <c r="R102" s="33">
        <v>5.4591620820990262E-2</v>
      </c>
      <c r="S102" s="33">
        <v>5.7553956834532384E-2</v>
      </c>
      <c r="T102" s="33">
        <v>0.3254337706305544</v>
      </c>
      <c r="U102" s="33">
        <v>4.6550994498518745E-2</v>
      </c>
      <c r="V102" s="33">
        <v>0.22597507036590264</v>
      </c>
      <c r="W102" s="33">
        <v>4.9055086449537683E-2</v>
      </c>
      <c r="X102" s="33">
        <v>0.29875351829513463</v>
      </c>
      <c r="Y102" s="33">
        <v>1.1258544431041415E-2</v>
      </c>
      <c r="Z102" s="33">
        <v>0.41495778045838355</v>
      </c>
      <c r="AA102" s="33">
        <v>0.50987066031313821</v>
      </c>
      <c r="AB102" s="33">
        <v>2.4506466984343053E-2</v>
      </c>
      <c r="AC102" s="33">
        <v>0.12321307011572498</v>
      </c>
      <c r="AD102" s="33">
        <v>0.23893805309734514</v>
      </c>
      <c r="AE102" s="33">
        <v>0.10347174948944858</v>
      </c>
    </row>
    <row r="103" spans="2:31" x14ac:dyDescent="0.35">
      <c r="B103" s="41">
        <v>2037</v>
      </c>
      <c r="C103" s="33">
        <v>1.7054984249493865E-2</v>
      </c>
      <c r="D103" s="33">
        <v>9.7543505748386578E-3</v>
      </c>
      <c r="E103" s="33">
        <v>0.95730713852405691</v>
      </c>
      <c r="F103" s="33">
        <v>6.8211751120076589E-3</v>
      </c>
      <c r="G103" s="33">
        <v>9.0623515396028396E-3</v>
      </c>
      <c r="H103" s="33">
        <v>0.18937595979338265</v>
      </c>
      <c r="I103" s="33">
        <v>0.76319279631439496</v>
      </c>
      <c r="J103" s="33">
        <v>4.7431243892223918E-2</v>
      </c>
      <c r="K103" s="33">
        <v>0.11971613699475457</v>
      </c>
      <c r="L103" s="33">
        <v>9.9969145325516887E-2</v>
      </c>
      <c r="M103" s="33">
        <v>0.67836778771983952</v>
      </c>
      <c r="N103" s="33">
        <v>9.1946929959888929E-2</v>
      </c>
      <c r="O103" s="33">
        <v>0.01</v>
      </c>
      <c r="P103" s="33">
        <v>0.40203131612357179</v>
      </c>
      <c r="Q103" s="33">
        <v>0.11383834109183248</v>
      </c>
      <c r="R103" s="33">
        <v>5.4591620820990262E-2</v>
      </c>
      <c r="S103" s="33">
        <v>5.7553956834532384E-2</v>
      </c>
      <c r="T103" s="33">
        <v>0.3254337706305544</v>
      </c>
      <c r="U103" s="33">
        <v>4.6550994498518745E-2</v>
      </c>
      <c r="V103" s="33">
        <v>0.22597507036590264</v>
      </c>
      <c r="W103" s="33">
        <v>4.9055086449537683E-2</v>
      </c>
      <c r="X103" s="33">
        <v>0.29875351829513463</v>
      </c>
      <c r="Y103" s="33">
        <v>1.1258544431041415E-2</v>
      </c>
      <c r="Z103" s="33">
        <v>0.41495778045838355</v>
      </c>
      <c r="AA103" s="33">
        <v>0.50987066031313821</v>
      </c>
      <c r="AB103" s="33">
        <v>2.4506466984343053E-2</v>
      </c>
      <c r="AC103" s="33">
        <v>0.12321307011572498</v>
      </c>
      <c r="AD103" s="33">
        <v>0.23893805309734514</v>
      </c>
      <c r="AE103" s="33">
        <v>0.10347174948944858</v>
      </c>
    </row>
    <row r="104" spans="2:31" x14ac:dyDescent="0.35">
      <c r="B104" s="41">
        <v>2038</v>
      </c>
      <c r="C104" s="33">
        <v>1.7054984249493865E-2</v>
      </c>
      <c r="D104" s="33">
        <v>9.7543505748386578E-3</v>
      </c>
      <c r="E104" s="33">
        <v>0.95730713852405691</v>
      </c>
      <c r="F104" s="33">
        <v>6.8211751120076589E-3</v>
      </c>
      <c r="G104" s="33">
        <v>9.0623515396028396E-3</v>
      </c>
      <c r="H104" s="33">
        <v>0.18937595979338265</v>
      </c>
      <c r="I104" s="33">
        <v>0.76319279631439496</v>
      </c>
      <c r="J104" s="33">
        <v>4.7431243892223918E-2</v>
      </c>
      <c r="K104" s="33">
        <v>0.11971613699475457</v>
      </c>
      <c r="L104" s="33">
        <v>9.9969145325516887E-2</v>
      </c>
      <c r="M104" s="33">
        <v>0.67836778771983952</v>
      </c>
      <c r="N104" s="33">
        <v>9.1946929959888929E-2</v>
      </c>
      <c r="O104" s="33">
        <v>0.01</v>
      </c>
      <c r="P104" s="33">
        <v>0.40203131612357179</v>
      </c>
      <c r="Q104" s="33">
        <v>0.11383834109183248</v>
      </c>
      <c r="R104" s="33">
        <v>5.4591620820990262E-2</v>
      </c>
      <c r="S104" s="33">
        <v>5.7553956834532384E-2</v>
      </c>
      <c r="T104" s="33">
        <v>0.3254337706305544</v>
      </c>
      <c r="U104" s="33">
        <v>4.6550994498518745E-2</v>
      </c>
      <c r="V104" s="33">
        <v>0.22597507036590264</v>
      </c>
      <c r="W104" s="33">
        <v>4.9055086449537683E-2</v>
      </c>
      <c r="X104" s="33">
        <v>0.29875351829513463</v>
      </c>
      <c r="Y104" s="33">
        <v>1.1258544431041415E-2</v>
      </c>
      <c r="Z104" s="33">
        <v>0.41495778045838355</v>
      </c>
      <c r="AA104" s="33">
        <v>0.50987066031313821</v>
      </c>
      <c r="AB104" s="33">
        <v>2.4506466984343053E-2</v>
      </c>
      <c r="AC104" s="33">
        <v>0.12321307011572498</v>
      </c>
      <c r="AD104" s="33">
        <v>0.23893805309734514</v>
      </c>
      <c r="AE104" s="33">
        <v>0.10347174948944858</v>
      </c>
    </row>
    <row r="105" spans="2:31" x14ac:dyDescent="0.35">
      <c r="B105" s="41">
        <v>2039</v>
      </c>
      <c r="C105" s="33">
        <v>1.7054984249493865E-2</v>
      </c>
      <c r="D105" s="33">
        <v>9.7543505748386578E-3</v>
      </c>
      <c r="E105" s="33">
        <v>0.95730713852405691</v>
      </c>
      <c r="F105" s="33">
        <v>6.8211751120076589E-3</v>
      </c>
      <c r="G105" s="33">
        <v>9.0623515396028396E-3</v>
      </c>
      <c r="H105" s="33">
        <v>0.18937595979338265</v>
      </c>
      <c r="I105" s="33">
        <v>0.76319279631439496</v>
      </c>
      <c r="J105" s="33">
        <v>4.7431243892223918E-2</v>
      </c>
      <c r="K105" s="33">
        <v>0.11971613699475457</v>
      </c>
      <c r="L105" s="33">
        <v>9.9969145325516887E-2</v>
      </c>
      <c r="M105" s="33">
        <v>0.67836778771983952</v>
      </c>
      <c r="N105" s="33">
        <v>9.1946929959888929E-2</v>
      </c>
      <c r="O105" s="33">
        <v>0.01</v>
      </c>
      <c r="P105" s="33">
        <v>0.40203131612357179</v>
      </c>
      <c r="Q105" s="33">
        <v>0.11383834109183248</v>
      </c>
      <c r="R105" s="33">
        <v>5.4591620820990262E-2</v>
      </c>
      <c r="S105" s="33">
        <v>5.7553956834532384E-2</v>
      </c>
      <c r="T105" s="33">
        <v>0.3254337706305544</v>
      </c>
      <c r="U105" s="33">
        <v>4.6550994498518745E-2</v>
      </c>
      <c r="V105" s="33">
        <v>0.22597507036590264</v>
      </c>
      <c r="W105" s="33">
        <v>4.9055086449537683E-2</v>
      </c>
      <c r="X105" s="33">
        <v>0.29875351829513463</v>
      </c>
      <c r="Y105" s="33">
        <v>1.1258544431041415E-2</v>
      </c>
      <c r="Z105" s="33">
        <v>0.41495778045838355</v>
      </c>
      <c r="AA105" s="33">
        <v>0.50987066031313821</v>
      </c>
      <c r="AB105" s="33">
        <v>2.4506466984343053E-2</v>
      </c>
      <c r="AC105" s="33">
        <v>0.12321307011572498</v>
      </c>
      <c r="AD105" s="33">
        <v>0.23893805309734514</v>
      </c>
      <c r="AE105" s="33">
        <v>0.10347174948944858</v>
      </c>
    </row>
    <row r="106" spans="2:31" x14ac:dyDescent="0.35">
      <c r="B106" s="41">
        <v>2040</v>
      </c>
      <c r="C106" s="33">
        <v>1.7054984249493865E-2</v>
      </c>
      <c r="D106" s="33">
        <v>9.7543505748386578E-3</v>
      </c>
      <c r="E106" s="33">
        <v>0.95730713852405691</v>
      </c>
      <c r="F106" s="33">
        <v>6.8211751120076589E-3</v>
      </c>
      <c r="G106" s="33">
        <v>9.0623515396028396E-3</v>
      </c>
      <c r="H106" s="33">
        <v>0.18937595979338265</v>
      </c>
      <c r="I106" s="33">
        <v>0.76319279631439596</v>
      </c>
      <c r="J106" s="33">
        <v>4.7431243892223918E-2</v>
      </c>
      <c r="K106" s="33">
        <v>0.11971613699475457</v>
      </c>
      <c r="L106" s="33">
        <v>9.9969145325516887E-2</v>
      </c>
      <c r="M106" s="33">
        <v>0.67836778771983952</v>
      </c>
      <c r="N106" s="33">
        <v>9.1946929959888929E-2</v>
      </c>
      <c r="O106" s="33">
        <v>0.01</v>
      </c>
      <c r="P106" s="33">
        <v>0.40203131612357179</v>
      </c>
      <c r="Q106" s="33">
        <v>0.11383834109183248</v>
      </c>
      <c r="R106" s="33">
        <v>5.4591620820990262E-2</v>
      </c>
      <c r="S106" s="33">
        <v>5.7553956834532384E-2</v>
      </c>
      <c r="T106" s="33">
        <v>0.3254337706305544</v>
      </c>
      <c r="U106" s="33">
        <v>4.6550994498518745E-2</v>
      </c>
      <c r="V106" s="33">
        <v>0.22597507036590264</v>
      </c>
      <c r="W106" s="33">
        <v>4.9055086449537683E-2</v>
      </c>
      <c r="X106" s="33">
        <v>0.29875351829513463</v>
      </c>
      <c r="Y106" s="33">
        <v>1.1258544431041415E-2</v>
      </c>
      <c r="Z106" s="33">
        <v>0.41495778045838355</v>
      </c>
      <c r="AA106" s="33">
        <v>0.50987066031313821</v>
      </c>
      <c r="AB106" s="33">
        <v>2.4506466984343053E-2</v>
      </c>
      <c r="AC106" s="33">
        <v>0.12321307011572498</v>
      </c>
      <c r="AD106" s="33">
        <v>0.23893805309734514</v>
      </c>
      <c r="AE106" s="33">
        <v>0.10347174948944858</v>
      </c>
    </row>
    <row r="107" spans="2:31" x14ac:dyDescent="0.35">
      <c r="B107" s="41">
        <v>2041</v>
      </c>
      <c r="C107" s="33">
        <v>1.7054984249493865E-2</v>
      </c>
      <c r="D107" s="33">
        <v>9.7543505748386578E-3</v>
      </c>
      <c r="E107" s="33">
        <v>0.95730713852405691</v>
      </c>
      <c r="F107" s="33">
        <v>6.8211751120076589E-3</v>
      </c>
      <c r="G107" s="33">
        <v>9.0623515396028396E-3</v>
      </c>
      <c r="H107" s="33">
        <v>0.18937595979338265</v>
      </c>
      <c r="I107" s="33">
        <v>0.76319279631439596</v>
      </c>
      <c r="J107" s="33">
        <v>4.7431243892223918E-2</v>
      </c>
      <c r="K107" s="33">
        <v>0.11971613699475457</v>
      </c>
      <c r="L107" s="33">
        <v>9.9969145325516887E-2</v>
      </c>
      <c r="M107" s="33">
        <v>0.67836778771983952</v>
      </c>
      <c r="N107" s="33">
        <v>9.1946929959888929E-2</v>
      </c>
      <c r="O107" s="33">
        <v>0.01</v>
      </c>
      <c r="P107" s="33">
        <v>0.40203131612357179</v>
      </c>
      <c r="Q107" s="33">
        <v>0.11383834109183248</v>
      </c>
      <c r="R107" s="33">
        <v>5.4591620820990262E-2</v>
      </c>
      <c r="S107" s="33">
        <v>5.7553956834532384E-2</v>
      </c>
      <c r="T107" s="33">
        <v>0.3254337706305544</v>
      </c>
      <c r="U107" s="33">
        <v>4.6550994498518745E-2</v>
      </c>
      <c r="V107" s="33">
        <v>0.22597507036590264</v>
      </c>
      <c r="W107" s="33">
        <v>4.9055086449537683E-2</v>
      </c>
      <c r="X107" s="33">
        <v>0.29875351829513463</v>
      </c>
      <c r="Y107" s="33">
        <v>1.1258544431041415E-2</v>
      </c>
      <c r="Z107" s="33">
        <v>0.41495778045838355</v>
      </c>
      <c r="AA107" s="33">
        <v>0.50987066031313821</v>
      </c>
      <c r="AB107" s="33">
        <v>2.4506466984343053E-2</v>
      </c>
      <c r="AC107" s="33">
        <v>0.12321307011572498</v>
      </c>
      <c r="AD107" s="33">
        <v>0.23893805309734514</v>
      </c>
      <c r="AE107" s="33">
        <v>0.10347174948944858</v>
      </c>
    </row>
    <row r="108" spans="2:31" x14ac:dyDescent="0.35">
      <c r="B108" s="41">
        <v>2042</v>
      </c>
      <c r="C108" s="33">
        <v>1.7054984249493865E-2</v>
      </c>
      <c r="D108" s="33">
        <v>9.7543505748386578E-3</v>
      </c>
      <c r="E108" s="33">
        <v>0.95730713852405691</v>
      </c>
      <c r="F108" s="33">
        <v>6.8211751120076589E-3</v>
      </c>
      <c r="G108" s="33">
        <v>9.0623515396028396E-3</v>
      </c>
      <c r="H108" s="33">
        <v>0.18937595979338265</v>
      </c>
      <c r="I108" s="33">
        <v>0.76319279631439596</v>
      </c>
      <c r="J108" s="33">
        <v>4.7431243892223918E-2</v>
      </c>
      <c r="K108" s="33">
        <v>0.11971613699475457</v>
      </c>
      <c r="L108" s="33">
        <v>9.9969145325516887E-2</v>
      </c>
      <c r="M108" s="33">
        <v>0.67836778771983952</v>
      </c>
      <c r="N108" s="33">
        <v>9.1946929959888929E-2</v>
      </c>
      <c r="O108" s="33">
        <v>0.01</v>
      </c>
      <c r="P108" s="33">
        <v>0.40203131612357179</v>
      </c>
      <c r="Q108" s="33">
        <v>0.11383834109183248</v>
      </c>
      <c r="R108" s="33">
        <v>5.4591620820990262E-2</v>
      </c>
      <c r="S108" s="33">
        <v>5.7553956834532384E-2</v>
      </c>
      <c r="T108" s="33">
        <v>0.3254337706305544</v>
      </c>
      <c r="U108" s="33">
        <v>4.6550994498518745E-2</v>
      </c>
      <c r="V108" s="33">
        <v>0.22597507036590264</v>
      </c>
      <c r="W108" s="33">
        <v>4.9055086449537683E-2</v>
      </c>
      <c r="X108" s="33">
        <v>0.29875351829513463</v>
      </c>
      <c r="Y108" s="33">
        <v>1.1258544431041415E-2</v>
      </c>
      <c r="Z108" s="33">
        <v>0.41495778045838355</v>
      </c>
      <c r="AA108" s="33">
        <v>0.50987066031313821</v>
      </c>
      <c r="AB108" s="33">
        <v>2.4506466984343053E-2</v>
      </c>
      <c r="AC108" s="33">
        <v>0.12321307011572498</v>
      </c>
      <c r="AD108" s="33">
        <v>0.23893805309734514</v>
      </c>
      <c r="AE108" s="33">
        <v>0.10347174948944858</v>
      </c>
    </row>
    <row r="109" spans="2:31" x14ac:dyDescent="0.35">
      <c r="B109" s="41">
        <v>2043</v>
      </c>
      <c r="C109" s="33">
        <v>1.7054984249493865E-2</v>
      </c>
      <c r="D109" s="33">
        <v>9.7543505748386578E-3</v>
      </c>
      <c r="E109" s="33">
        <v>0.95730713852405691</v>
      </c>
      <c r="F109" s="33">
        <v>6.8211751120076589E-3</v>
      </c>
      <c r="G109" s="33">
        <v>9.0623515396028396E-3</v>
      </c>
      <c r="H109" s="33">
        <v>0.18937595979338265</v>
      </c>
      <c r="I109" s="33">
        <v>0.76319279631439596</v>
      </c>
      <c r="J109" s="33">
        <v>4.7431243892223918E-2</v>
      </c>
      <c r="K109" s="33">
        <v>0.11971613699475457</v>
      </c>
      <c r="L109" s="33">
        <v>9.9969145325516887E-2</v>
      </c>
      <c r="M109" s="33">
        <v>0.67836778771983952</v>
      </c>
      <c r="N109" s="33">
        <v>9.1946929959888929E-2</v>
      </c>
      <c r="O109" s="33">
        <v>0.01</v>
      </c>
      <c r="P109" s="33">
        <v>0.40203131612357179</v>
      </c>
      <c r="Q109" s="33">
        <v>0.11383834109183248</v>
      </c>
      <c r="R109" s="33">
        <v>5.4591620820990262E-2</v>
      </c>
      <c r="S109" s="33">
        <v>5.7553956834532384E-2</v>
      </c>
      <c r="T109" s="33">
        <v>0.3254337706305544</v>
      </c>
      <c r="U109" s="33">
        <v>4.6550994498518745E-2</v>
      </c>
      <c r="V109" s="33">
        <v>0.22597507036590264</v>
      </c>
      <c r="W109" s="33">
        <v>4.9055086449537683E-2</v>
      </c>
      <c r="X109" s="33">
        <v>0.29875351829513463</v>
      </c>
      <c r="Y109" s="33">
        <v>1.1258544431041415E-2</v>
      </c>
      <c r="Z109" s="33">
        <v>0.41495778045838355</v>
      </c>
      <c r="AA109" s="33">
        <v>0.50987066031313821</v>
      </c>
      <c r="AB109" s="33">
        <v>2.4506466984343053E-2</v>
      </c>
      <c r="AC109" s="33">
        <v>0.12321307011572498</v>
      </c>
      <c r="AD109" s="33">
        <v>0.23893805309734514</v>
      </c>
      <c r="AE109" s="33">
        <v>0.10347174948944858</v>
      </c>
    </row>
    <row r="110" spans="2:31" x14ac:dyDescent="0.35">
      <c r="B110" s="41">
        <v>2044</v>
      </c>
      <c r="C110" s="33">
        <v>1.7054984249493865E-2</v>
      </c>
      <c r="D110" s="33">
        <v>9.7543505748386578E-3</v>
      </c>
      <c r="E110" s="33">
        <v>0.95730713852405691</v>
      </c>
      <c r="F110" s="33">
        <v>6.8211751120076589E-3</v>
      </c>
      <c r="G110" s="33">
        <v>9.0623515396028396E-3</v>
      </c>
      <c r="H110" s="33">
        <v>0.18937595979338265</v>
      </c>
      <c r="I110" s="33">
        <v>0.76319279631439596</v>
      </c>
      <c r="J110" s="33">
        <v>4.7431243892223918E-2</v>
      </c>
      <c r="K110" s="33">
        <v>0.11971613699475457</v>
      </c>
      <c r="L110" s="33">
        <v>9.9969145325516887E-2</v>
      </c>
      <c r="M110" s="33">
        <v>0.67836778771983952</v>
      </c>
      <c r="N110" s="33">
        <v>9.1946929959888929E-2</v>
      </c>
      <c r="O110" s="33">
        <v>0.01</v>
      </c>
      <c r="P110" s="33">
        <v>0.40203131612357179</v>
      </c>
      <c r="Q110" s="33">
        <v>0.11383834109183248</v>
      </c>
      <c r="R110" s="33">
        <v>5.4591620820990262E-2</v>
      </c>
      <c r="S110" s="33">
        <v>5.7553956834532384E-2</v>
      </c>
      <c r="T110" s="33">
        <v>0.3254337706305544</v>
      </c>
      <c r="U110" s="33">
        <v>4.6550994498518745E-2</v>
      </c>
      <c r="V110" s="33">
        <v>0.22597507036590264</v>
      </c>
      <c r="W110" s="33">
        <v>4.9055086449537683E-2</v>
      </c>
      <c r="X110" s="33">
        <v>0.29875351829513463</v>
      </c>
      <c r="Y110" s="33">
        <v>1.1258544431041415E-2</v>
      </c>
      <c r="Z110" s="33">
        <v>0.41495778045838355</v>
      </c>
      <c r="AA110" s="33">
        <v>0.50987066031313821</v>
      </c>
      <c r="AB110" s="33">
        <v>2.4506466984343053E-2</v>
      </c>
      <c r="AC110" s="33">
        <v>0.12321307011572498</v>
      </c>
      <c r="AD110" s="33">
        <v>0.23893805309734514</v>
      </c>
      <c r="AE110" s="33">
        <v>0.10347174948944858</v>
      </c>
    </row>
    <row r="111" spans="2:31" x14ac:dyDescent="0.35">
      <c r="B111" s="41">
        <v>2045</v>
      </c>
      <c r="C111" s="33">
        <v>1.7054984249493865E-2</v>
      </c>
      <c r="D111" s="33">
        <v>9.7543505748386578E-3</v>
      </c>
      <c r="E111" s="33">
        <v>0.95730713852405691</v>
      </c>
      <c r="F111" s="33">
        <v>6.8211751120076589E-3</v>
      </c>
      <c r="G111" s="33">
        <v>9.0623515396028396E-3</v>
      </c>
      <c r="H111" s="33">
        <v>0.18937595979338265</v>
      </c>
      <c r="I111" s="33">
        <v>0.76319279631439596</v>
      </c>
      <c r="J111" s="33">
        <v>4.7431243892223918E-2</v>
      </c>
      <c r="K111" s="33">
        <v>0.11971613699475457</v>
      </c>
      <c r="L111" s="33">
        <v>9.9969145325516887E-2</v>
      </c>
      <c r="M111" s="33">
        <v>0.67836778771983952</v>
      </c>
      <c r="N111" s="33">
        <v>9.1946929959888929E-2</v>
      </c>
      <c r="O111" s="33">
        <v>0.01</v>
      </c>
      <c r="P111" s="33">
        <v>0.40203131612357179</v>
      </c>
      <c r="Q111" s="33">
        <v>0.11383834109183248</v>
      </c>
      <c r="R111" s="33">
        <v>5.4591620820990262E-2</v>
      </c>
      <c r="S111" s="33">
        <v>5.7553956834532384E-2</v>
      </c>
      <c r="T111" s="33">
        <v>0.3254337706305544</v>
      </c>
      <c r="U111" s="33">
        <v>4.6550994498518745E-2</v>
      </c>
      <c r="V111" s="33">
        <v>0.22597507036590264</v>
      </c>
      <c r="W111" s="33">
        <v>4.9055086449537683E-2</v>
      </c>
      <c r="X111" s="33">
        <v>0.29875351829513463</v>
      </c>
      <c r="Y111" s="33">
        <v>1.1258544431041415E-2</v>
      </c>
      <c r="Z111" s="33">
        <v>0.41495778045838355</v>
      </c>
      <c r="AA111" s="33">
        <v>0.50987066031313821</v>
      </c>
      <c r="AB111" s="33">
        <v>2.4506466984343053E-2</v>
      </c>
      <c r="AC111" s="33">
        <v>0.12321307011572498</v>
      </c>
      <c r="AD111" s="33">
        <v>0.23893805309734514</v>
      </c>
      <c r="AE111" s="33">
        <v>0.10347174948944858</v>
      </c>
    </row>
  </sheetData>
  <mergeCells count="9">
    <mergeCell ref="C1:M2"/>
    <mergeCell ref="N1:W2"/>
    <mergeCell ref="X1:AB2"/>
    <mergeCell ref="C83:G83"/>
    <mergeCell ref="H83:J83"/>
    <mergeCell ref="K83:O83"/>
    <mergeCell ref="P83:U83"/>
    <mergeCell ref="V83:Z83"/>
    <mergeCell ref="AA83:AE83"/>
  </mergeCells>
  <phoneticPr fontId="6" type="noConversion"/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8F61-31A3-4F50-A5B9-6E221767095F}">
  <dimension ref="A1:BB113"/>
  <sheetViews>
    <sheetView topLeftCell="A2" zoomScale="64" zoomScaleNormal="115" workbookViewId="0">
      <selection activeCell="C22" sqref="C22"/>
    </sheetView>
  </sheetViews>
  <sheetFormatPr defaultRowHeight="14.5" x14ac:dyDescent="0.35"/>
  <cols>
    <col min="2" max="2" width="41.6328125" bestFit="1" customWidth="1"/>
    <col min="3" max="3" width="15.6328125" bestFit="1" customWidth="1"/>
    <col min="4" max="4" width="14.90625" bestFit="1" customWidth="1"/>
    <col min="5" max="5" width="12.6328125" bestFit="1" customWidth="1"/>
    <col min="6" max="6" width="16.36328125" bestFit="1" customWidth="1"/>
    <col min="7" max="7" width="13.36328125" bestFit="1" customWidth="1"/>
    <col min="8" max="8" width="15.6328125" bestFit="1" customWidth="1"/>
    <col min="9" max="9" width="12.6328125" bestFit="1" customWidth="1"/>
    <col min="10" max="10" width="12.453125" bestFit="1" customWidth="1"/>
    <col min="11" max="11" width="15.6328125" bestFit="1" customWidth="1"/>
    <col min="12" max="12" width="15.08984375" bestFit="1" customWidth="1"/>
    <col min="13" max="13" width="12.6328125" bestFit="1" customWidth="1"/>
    <col min="14" max="15" width="12.453125" bestFit="1" customWidth="1"/>
    <col min="16" max="16" width="15.6328125" bestFit="1" customWidth="1"/>
    <col min="17" max="17" width="12.453125" bestFit="1" customWidth="1"/>
    <col min="18" max="18" width="12.6328125" bestFit="1" customWidth="1"/>
    <col min="19" max="19" width="16.36328125" bestFit="1" customWidth="1"/>
    <col min="20" max="20" width="12.453125" bestFit="1" customWidth="1"/>
    <col min="21" max="21" width="14.90625" bestFit="1" customWidth="1"/>
    <col min="22" max="22" width="15.6328125" bestFit="1" customWidth="1"/>
    <col min="23" max="23" width="12.453125" bestFit="1" customWidth="1"/>
    <col min="24" max="24" width="14.90625" bestFit="1" customWidth="1"/>
    <col min="25" max="25" width="12.6328125" bestFit="1" customWidth="1"/>
    <col min="26" max="26" width="12.453125" bestFit="1" customWidth="1"/>
    <col min="27" max="27" width="15.6328125" bestFit="1" customWidth="1"/>
    <col min="28" max="28" width="12.453125" bestFit="1" customWidth="1"/>
    <col min="29" max="29" width="12.6328125" bestFit="1" customWidth="1"/>
    <col min="30" max="30" width="12.453125" bestFit="1" customWidth="1"/>
    <col min="31" max="31" width="14.90625" bestFit="1" customWidth="1"/>
  </cols>
  <sheetData>
    <row r="1" spans="1:54" ht="20" thickBot="1" x14ac:dyDescent="0.5">
      <c r="A1" s="58" t="s">
        <v>119</v>
      </c>
    </row>
    <row r="2" spans="1:54" ht="15" thickTop="1" x14ac:dyDescent="0.35">
      <c r="A2" t="s">
        <v>120</v>
      </c>
    </row>
    <row r="4" spans="1:54" x14ac:dyDescent="0.35">
      <c r="C4" s="184" t="s">
        <v>105</v>
      </c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5" t="s">
        <v>130</v>
      </c>
      <c r="O4" s="185"/>
      <c r="P4" s="185"/>
      <c r="Q4" s="185"/>
      <c r="R4" s="185"/>
      <c r="S4" s="185"/>
      <c r="T4" s="185"/>
      <c r="U4" s="185"/>
      <c r="V4" s="185"/>
      <c r="W4" s="185"/>
      <c r="X4" s="186" t="s">
        <v>107</v>
      </c>
      <c r="Y4" s="186"/>
      <c r="Z4" s="186"/>
      <c r="AA4" s="186"/>
      <c r="AB4" s="186"/>
    </row>
    <row r="5" spans="1:54" x14ac:dyDescent="0.35"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6"/>
      <c r="Y5" s="186"/>
      <c r="Z5" s="186"/>
      <c r="AA5" s="186"/>
      <c r="AB5" s="186"/>
    </row>
    <row r="6" spans="1:54" x14ac:dyDescent="0.35">
      <c r="B6" t="s">
        <v>52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 t="s">
        <v>37</v>
      </c>
      <c r="O6" t="s">
        <v>54</v>
      </c>
      <c r="P6" t="s">
        <v>55</v>
      </c>
      <c r="Q6" t="s">
        <v>56</v>
      </c>
      <c r="R6" t="s">
        <v>57</v>
      </c>
      <c r="S6" t="s">
        <v>58</v>
      </c>
      <c r="T6" t="s">
        <v>59</v>
      </c>
      <c r="U6" t="s">
        <v>60</v>
      </c>
      <c r="V6" t="s">
        <v>61</v>
      </c>
      <c r="W6" t="s">
        <v>62</v>
      </c>
      <c r="X6" t="s">
        <v>85</v>
      </c>
      <c r="Y6" t="s">
        <v>86</v>
      </c>
      <c r="Z6" t="s">
        <v>87</v>
      </c>
      <c r="AA6" t="s">
        <v>88</v>
      </c>
      <c r="AB6" t="s">
        <v>89</v>
      </c>
      <c r="AC6" t="s">
        <v>38</v>
      </c>
      <c r="AD6" t="s">
        <v>40</v>
      </c>
      <c r="AE6" t="s">
        <v>41</v>
      </c>
      <c r="AF6" t="s">
        <v>42</v>
      </c>
      <c r="AG6" t="s">
        <v>43</v>
      </c>
      <c r="AH6" t="s">
        <v>44</v>
      </c>
      <c r="AI6" t="s">
        <v>45</v>
      </c>
      <c r="AJ6" t="s">
        <v>46</v>
      </c>
      <c r="AK6" t="s">
        <v>47</v>
      </c>
      <c r="AL6" t="s">
        <v>48</v>
      </c>
      <c r="AM6" t="s">
        <v>39</v>
      </c>
      <c r="AN6" s="19" t="s">
        <v>90</v>
      </c>
      <c r="AO6" s="19" t="s">
        <v>91</v>
      </c>
      <c r="AP6" s="19" t="s">
        <v>92</v>
      </c>
      <c r="AQ6" s="19" t="s">
        <v>93</v>
      </c>
      <c r="AR6" s="19" t="s">
        <v>94</v>
      </c>
      <c r="AS6" s="19" t="s">
        <v>95</v>
      </c>
      <c r="AT6" s="19" t="s">
        <v>96</v>
      </c>
      <c r="AU6" s="19" t="s">
        <v>97</v>
      </c>
      <c r="AV6" s="19" t="s">
        <v>98</v>
      </c>
      <c r="AW6" s="19" t="s">
        <v>99</v>
      </c>
      <c r="AX6" s="19" t="s">
        <v>100</v>
      </c>
      <c r="AY6" s="19" t="s">
        <v>101</v>
      </c>
      <c r="AZ6" s="19" t="s">
        <v>102</v>
      </c>
      <c r="BA6" s="19" t="s">
        <v>103</v>
      </c>
      <c r="BB6" s="19" t="s">
        <v>104</v>
      </c>
    </row>
    <row r="7" spans="1:54" x14ac:dyDescent="0.35">
      <c r="B7" s="3" t="s">
        <v>4</v>
      </c>
      <c r="C7" s="3">
        <v>355878</v>
      </c>
      <c r="D7">
        <f>Tabella3346[[#This Row],[2020]]+(Tabella3346[[#This Row],[2025]]-Tabella3346[[#This Row],[2020]])/5</f>
        <v>350156.04</v>
      </c>
      <c r="E7">
        <v>344434.07999999996</v>
      </c>
      <c r="F7">
        <v>338712.11999999994</v>
      </c>
      <c r="G7">
        <v>332990.15999999992</v>
      </c>
      <c r="H7" s="3">
        <v>327268.2</v>
      </c>
      <c r="I7">
        <v>319662.18</v>
      </c>
      <c r="J7">
        <v>312056.15999999997</v>
      </c>
      <c r="K7">
        <v>304450.13999999996</v>
      </c>
      <c r="L7">
        <v>296844.11999999994</v>
      </c>
      <c r="M7" s="3">
        <v>289238.10000000003</v>
      </c>
      <c r="N7">
        <v>281632.08</v>
      </c>
      <c r="O7">
        <v>274026.06</v>
      </c>
      <c r="P7">
        <v>266420.03999999998</v>
      </c>
      <c r="Q7">
        <v>258814.02</v>
      </c>
      <c r="R7">
        <v>251208</v>
      </c>
      <c r="S7">
        <v>243601.98</v>
      </c>
      <c r="T7">
        <v>235995.96000000002</v>
      </c>
      <c r="U7">
        <v>228389.94000000003</v>
      </c>
      <c r="V7">
        <v>220783.92000000004</v>
      </c>
      <c r="W7">
        <v>213177.90000000005</v>
      </c>
      <c r="X7">
        <v>213177.90000000005</v>
      </c>
      <c r="Y7">
        <v>213177.90000000005</v>
      </c>
      <c r="Z7">
        <v>213177.90000000005</v>
      </c>
      <c r="AA7">
        <v>213177.90000000005</v>
      </c>
      <c r="AB7">
        <v>213177.90000000005</v>
      </c>
      <c r="AC7">
        <v>1.0000000000000002</v>
      </c>
      <c r="AD7">
        <v>1.0000000000000002</v>
      </c>
      <c r="AE7">
        <v>1.0000000000000002</v>
      </c>
      <c r="AF7">
        <v>1.0000000000000004</v>
      </c>
      <c r="AG7">
        <v>1.0000000000000004</v>
      </c>
      <c r="AH7">
        <v>1</v>
      </c>
      <c r="AI7">
        <v>1</v>
      </c>
      <c r="AJ7">
        <v>1.0000000000000002</v>
      </c>
      <c r="AK7">
        <v>1.0000000000000002</v>
      </c>
      <c r="AL7">
        <v>1.0000000000000004</v>
      </c>
      <c r="AM7">
        <v>0.99999999999999989</v>
      </c>
      <c r="AN7">
        <v>0.99999999999999989</v>
      </c>
      <c r="AO7">
        <v>0.99999999999999989</v>
      </c>
      <c r="AP7">
        <v>0.99999999999999989</v>
      </c>
      <c r="AQ7">
        <v>0.99999999999999989</v>
      </c>
      <c r="AR7">
        <v>0.99999999999999989</v>
      </c>
      <c r="AS7">
        <v>0.99999999999999989</v>
      </c>
      <c r="AT7">
        <v>0.99999999999999989</v>
      </c>
      <c r="AU7">
        <v>0.99999999999999989</v>
      </c>
      <c r="AV7">
        <v>0.99999999999999989</v>
      </c>
      <c r="AW7">
        <v>0.99999999999999989</v>
      </c>
      <c r="AX7">
        <v>0.99999999999999989</v>
      </c>
      <c r="AY7">
        <v>0.99999999999999989</v>
      </c>
      <c r="AZ7">
        <v>0.99999999999999989</v>
      </c>
      <c r="BA7">
        <v>0.99999999999999989</v>
      </c>
      <c r="BB7">
        <v>0.99999999999999989</v>
      </c>
    </row>
    <row r="8" spans="1:54" x14ac:dyDescent="0.35">
      <c r="B8" t="s">
        <v>13</v>
      </c>
      <c r="C8" s="3">
        <v>72338.600000000035</v>
      </c>
      <c r="D8">
        <v>72664.24000000002</v>
      </c>
      <c r="E8">
        <v>72989.88</v>
      </c>
      <c r="F8">
        <v>73315.51999999999</v>
      </c>
      <c r="G8">
        <v>73641.159999999974</v>
      </c>
      <c r="H8" s="3">
        <v>73966.799999999988</v>
      </c>
      <c r="I8">
        <v>76455.62</v>
      </c>
      <c r="J8">
        <v>78944.44</v>
      </c>
      <c r="K8">
        <v>81433.260000000009</v>
      </c>
      <c r="L8">
        <v>83922.080000000016</v>
      </c>
      <c r="M8" s="3">
        <v>86410.9</v>
      </c>
      <c r="N8">
        <f>N$7*Tabella3346[[#This Row],[2031%]]</f>
        <v>84138.574764776829</v>
      </c>
      <c r="O8">
        <f>O$7*Tabella3346[[#This Row],[2032%]]</f>
        <v>81866.249529553665</v>
      </c>
      <c r="P8">
        <f>P$7*Tabella3346[[#This Row],[2033%]]</f>
        <v>79593.9242943305</v>
      </c>
      <c r="Q8">
        <f>Q$7*Tabella3346[[#This Row],[2034%]]</f>
        <v>77321.599059107335</v>
      </c>
      <c r="R8">
        <f>R$7*Tabella3346[[#This Row],[2035%]]</f>
        <v>75049.273823884185</v>
      </c>
      <c r="S8">
        <f>S$7*Tabella3346[[#This Row],[2036%]]</f>
        <v>72776.94858866102</v>
      </c>
      <c r="T8">
        <f>T$7*Tabella3346[[#This Row],[2037%]]</f>
        <v>70504.62335343787</v>
      </c>
      <c r="U8">
        <f>U$7*Tabella3346[[#This Row],[2038%]]</f>
        <v>68232.298118214705</v>
      </c>
      <c r="V8">
        <f>V$7*Tabella3346[[#This Row],[2039%]]</f>
        <v>65959.972882991555</v>
      </c>
      <c r="W8">
        <f>W$7*Tabella3346[[#This Row],[2040%]]</f>
        <v>63687.647647768397</v>
      </c>
      <c r="X8">
        <f>X$7*Tabella3346[[#This Row],[2041%]]</f>
        <v>63687.647647768397</v>
      </c>
      <c r="Y8">
        <f>Y$7*Tabella3346[[#This Row],[2042%]]</f>
        <v>63687.647647768397</v>
      </c>
      <c r="Z8">
        <f>Z$7*Tabella3346[[#This Row],[2043%]]</f>
        <v>63687.647647768397</v>
      </c>
      <c r="AA8">
        <f>AA$7*Tabella3346[[#This Row],[2044%]]</f>
        <v>63687.647647768397</v>
      </c>
      <c r="AB8">
        <f>AB$7*Tabella3346[[#This Row],[2045%]]</f>
        <v>63687.647647768397</v>
      </c>
      <c r="AC8">
        <v>0.20326797385620926</v>
      </c>
      <c r="AD8">
        <v>0.20751959612063245</v>
      </c>
      <c r="AE8">
        <v>0.21191247974068075</v>
      </c>
      <c r="AF8">
        <v>0.21645378382090374</v>
      </c>
      <c r="AG8">
        <v>0.22115115954177142</v>
      </c>
      <c r="AH8">
        <v>0.22601279317697223</v>
      </c>
      <c r="AI8">
        <v>0.23917630793858691</v>
      </c>
      <c r="AJ8">
        <v>0.25298151460942159</v>
      </c>
      <c r="AK8">
        <v>0.26747650699060288</v>
      </c>
      <c r="AL8">
        <v>0.28271430810217846</v>
      </c>
      <c r="AM8">
        <v>0.29875351829513463</v>
      </c>
      <c r="AN8">
        <v>0.29875351829513463</v>
      </c>
      <c r="AO8">
        <v>0.29875351829513463</v>
      </c>
      <c r="AP8">
        <v>0.29875351829513463</v>
      </c>
      <c r="AQ8">
        <v>0.29875351829513463</v>
      </c>
      <c r="AR8">
        <v>0.29875351829513463</v>
      </c>
      <c r="AS8">
        <v>0.29875351829513463</v>
      </c>
      <c r="AT8">
        <v>0.29875351829513463</v>
      </c>
      <c r="AU8">
        <v>0.29875351829513463</v>
      </c>
      <c r="AV8">
        <v>0.29875351829513463</v>
      </c>
      <c r="AW8">
        <v>0.29875351829513463</v>
      </c>
      <c r="AX8">
        <v>0.29875351829513463</v>
      </c>
      <c r="AY8">
        <v>0.29875351829513463</v>
      </c>
      <c r="AZ8">
        <v>0.29875351829513463</v>
      </c>
      <c r="BA8">
        <v>0.29875351829513463</v>
      </c>
      <c r="BB8">
        <v>0.29875351829513463</v>
      </c>
    </row>
    <row r="9" spans="1:54" x14ac:dyDescent="0.35">
      <c r="B9" t="s">
        <v>12</v>
      </c>
      <c r="C9" s="3">
        <v>13955.999999999991</v>
      </c>
      <c r="D9">
        <v>13816.439999999993</v>
      </c>
      <c r="E9">
        <v>13676.879999999996</v>
      </c>
      <c r="F9">
        <v>13537.319999999998</v>
      </c>
      <c r="G9">
        <v>13397.76</v>
      </c>
      <c r="H9" s="3">
        <v>13258.200000000006</v>
      </c>
      <c r="I9">
        <v>13444.28000000001</v>
      </c>
      <c r="J9">
        <v>13630.360000000013</v>
      </c>
      <c r="K9">
        <v>13816.440000000017</v>
      </c>
      <c r="L9">
        <v>14002.52000000002</v>
      </c>
      <c r="M9" s="3">
        <v>14188.600000000028</v>
      </c>
      <c r="N9">
        <f>N$7*Tabella3346[[#This Row],[2031%]]</f>
        <v>13815.486031363112</v>
      </c>
      <c r="O9">
        <f>O$7*Tabella3346[[#This Row],[2032%]]</f>
        <v>13442.372062726199</v>
      </c>
      <c r="P9">
        <f>P$7*Tabella3346[[#This Row],[2033%]]</f>
        <v>13069.258094089286</v>
      </c>
      <c r="Q9">
        <f>Q$7*Tabella3346[[#This Row],[2034%]]</f>
        <v>12696.144125452374</v>
      </c>
      <c r="R9">
        <f>R$7*Tabella3346[[#This Row],[2035%]]</f>
        <v>12323.030156815463</v>
      </c>
      <c r="S9">
        <f>S$7*Tabella3346[[#This Row],[2036%]]</f>
        <v>11949.916188178549</v>
      </c>
      <c r="T9">
        <f>T$7*Tabella3346[[#This Row],[2037%]]</f>
        <v>11576.802219541638</v>
      </c>
      <c r="U9">
        <f>U$7*Tabella3346[[#This Row],[2038%]]</f>
        <v>11203.688250904726</v>
      </c>
      <c r="V9">
        <f>V$7*Tabella3346[[#This Row],[2039%]]</f>
        <v>10830.574282267813</v>
      </c>
      <c r="W9">
        <f>W$7*Tabella3346[[#This Row],[2040%]]</f>
        <v>10457.460313630902</v>
      </c>
      <c r="X9">
        <f>X$7*Tabella3346[[#This Row],[2041%]]</f>
        <v>10457.460313630902</v>
      </c>
      <c r="Y9">
        <f>Y$7*Tabella3346[[#This Row],[2042%]]</f>
        <v>10457.460313630902</v>
      </c>
      <c r="Z9">
        <f>Z$7*Tabella3346[[#This Row],[2043%]]</f>
        <v>10457.460313630902</v>
      </c>
      <c r="AA9">
        <f>AA$7*Tabella3346[[#This Row],[2044%]]</f>
        <v>10457.460313630902</v>
      </c>
      <c r="AB9">
        <f>AB$7*Tabella3346[[#This Row],[2045%]]</f>
        <v>10457.460313630902</v>
      </c>
      <c r="AC9">
        <v>3.9215686274509776E-2</v>
      </c>
      <c r="AD9">
        <v>3.9457951375049802E-2</v>
      </c>
      <c r="AE9">
        <v>3.9708265802269035E-2</v>
      </c>
      <c r="AF9">
        <v>3.996703749484961E-2</v>
      </c>
      <c r="AG9">
        <v>4.0234702430846613E-2</v>
      </c>
      <c r="AH9">
        <v>4.0511727078891273E-2</v>
      </c>
      <c r="AI9">
        <v>4.2057774867205154E-2</v>
      </c>
      <c r="AJ9">
        <v>4.3679189028026283E-2</v>
      </c>
      <c r="AK9">
        <v>4.5381618152647324E-2</v>
      </c>
      <c r="AL9">
        <v>4.7171289766494359E-2</v>
      </c>
      <c r="AM9">
        <v>4.9055086449537683E-2</v>
      </c>
      <c r="AN9">
        <v>4.9055086449537683E-2</v>
      </c>
      <c r="AO9">
        <v>4.9055086449537683E-2</v>
      </c>
      <c r="AP9">
        <v>4.9055086449537683E-2</v>
      </c>
      <c r="AQ9">
        <v>4.9055086449537683E-2</v>
      </c>
      <c r="AR9">
        <v>4.9055086449537683E-2</v>
      </c>
      <c r="AS9">
        <v>4.9055086449537683E-2</v>
      </c>
      <c r="AT9">
        <v>4.9055086449537683E-2</v>
      </c>
      <c r="AU9">
        <v>4.9055086449537683E-2</v>
      </c>
      <c r="AV9">
        <v>4.9055086449537683E-2</v>
      </c>
      <c r="AW9">
        <v>4.9055086449537683E-2</v>
      </c>
      <c r="AX9">
        <v>4.9055086449537683E-2</v>
      </c>
      <c r="AY9">
        <v>4.9055086449537683E-2</v>
      </c>
      <c r="AZ9">
        <v>4.9055086449537683E-2</v>
      </c>
      <c r="BA9">
        <v>4.9055086449537683E-2</v>
      </c>
      <c r="BB9">
        <v>4.9055086449537683E-2</v>
      </c>
    </row>
    <row r="10" spans="1:54" x14ac:dyDescent="0.35">
      <c r="B10" t="s">
        <v>11</v>
      </c>
      <c r="C10" s="3">
        <v>65825.8</v>
      </c>
      <c r="D10">
        <v>66407.3</v>
      </c>
      <c r="E10">
        <v>66988.800000000003</v>
      </c>
      <c r="F10">
        <v>67570.3</v>
      </c>
      <c r="G10">
        <v>68151.8</v>
      </c>
      <c r="H10" s="3">
        <v>68733.3</v>
      </c>
      <c r="I10">
        <v>68058.759999999995</v>
      </c>
      <c r="J10">
        <v>67384.219999999987</v>
      </c>
      <c r="K10">
        <v>66709.679999999978</v>
      </c>
      <c r="L10">
        <v>66035.13999999997</v>
      </c>
      <c r="M10" s="3">
        <v>65360.599999999991</v>
      </c>
      <c r="N10">
        <f>N$7*Tabella3346[[#This Row],[2031%]]</f>
        <v>63641.829095295529</v>
      </c>
      <c r="O10">
        <f>O$7*Tabella3346[[#This Row],[2032%]]</f>
        <v>61923.058190591059</v>
      </c>
      <c r="P10">
        <f>P$7*Tabella3346[[#This Row],[2033%]]</f>
        <v>60204.287285886589</v>
      </c>
      <c r="Q10">
        <f>Q$7*Tabella3346[[#This Row],[2034%]]</f>
        <v>58485.516381182133</v>
      </c>
      <c r="R10">
        <f>R$7*Tabella3346[[#This Row],[2035%]]</f>
        <v>56766.74547647767</v>
      </c>
      <c r="S10">
        <f>S$7*Tabella3346[[#This Row],[2036%]]</f>
        <v>55047.974571773208</v>
      </c>
      <c r="T10">
        <f>T$7*Tabella3346[[#This Row],[2037%]]</f>
        <v>53329.203667068752</v>
      </c>
      <c r="U10">
        <f>U$7*Tabella3346[[#This Row],[2038%]]</f>
        <v>51610.432762364289</v>
      </c>
      <c r="V10">
        <f>V$7*Tabella3346[[#This Row],[2039%]]</f>
        <v>49891.661857659827</v>
      </c>
      <c r="W10">
        <f>W$7*Tabella3346[[#This Row],[2040%]]</f>
        <v>48172.890952955371</v>
      </c>
      <c r="X10">
        <f>X$7*Tabella3346[[#This Row],[2041%]]</f>
        <v>48172.890952955371</v>
      </c>
      <c r="Y10">
        <f>Y$7*Tabella3346[[#This Row],[2042%]]</f>
        <v>48172.890952955371</v>
      </c>
      <c r="Z10">
        <f>Z$7*Tabella3346[[#This Row],[2043%]]</f>
        <v>48172.890952955371</v>
      </c>
      <c r="AA10">
        <f>AA$7*Tabella3346[[#This Row],[2044%]]</f>
        <v>48172.890952955371</v>
      </c>
      <c r="AB10">
        <f>AB$7*Tabella3346[[#This Row],[2045%]]</f>
        <v>48172.890952955371</v>
      </c>
      <c r="AC10">
        <v>0.18496732026143792</v>
      </c>
      <c r="AD10">
        <v>0.18965059120499536</v>
      </c>
      <c r="AE10">
        <v>0.19448946515397086</v>
      </c>
      <c r="AF10">
        <v>0.19949182804559817</v>
      </c>
      <c r="AG10">
        <v>0.20466610785135519</v>
      </c>
      <c r="AH10">
        <v>0.21002132196162046</v>
      </c>
      <c r="AI10">
        <v>0.21290838972567852</v>
      </c>
      <c r="AJ10">
        <v>0.21593619558735835</v>
      </c>
      <c r="AK10">
        <v>0.21911528764611501</v>
      </c>
      <c r="AL10">
        <v>0.22245729509481268</v>
      </c>
      <c r="AM10">
        <v>0.22597507036590264</v>
      </c>
      <c r="AN10">
        <v>0.22597507036590264</v>
      </c>
      <c r="AO10">
        <v>0.22597507036590264</v>
      </c>
      <c r="AP10">
        <v>0.22597507036590264</v>
      </c>
      <c r="AQ10">
        <v>0.22597507036590264</v>
      </c>
      <c r="AR10">
        <v>0.22597507036590264</v>
      </c>
      <c r="AS10">
        <v>0.22597507036590264</v>
      </c>
      <c r="AT10">
        <v>0.22597507036590264</v>
      </c>
      <c r="AU10">
        <v>0.22597507036590264</v>
      </c>
      <c r="AV10">
        <v>0.22597507036590264</v>
      </c>
      <c r="AW10">
        <v>0.22597507036590264</v>
      </c>
      <c r="AX10">
        <v>0.22597507036590264</v>
      </c>
      <c r="AY10">
        <v>0.22597507036590264</v>
      </c>
      <c r="AZ10">
        <v>0.22597507036590264</v>
      </c>
      <c r="BA10">
        <v>0.22597507036590264</v>
      </c>
      <c r="BB10">
        <v>0.22597507036590264</v>
      </c>
    </row>
    <row r="11" spans="1:54" x14ac:dyDescent="0.35">
      <c r="B11" t="s">
        <v>9</v>
      </c>
      <c r="C11" s="3">
        <v>184800.7</v>
      </c>
      <c r="D11">
        <v>179660.24000000002</v>
      </c>
      <c r="E11">
        <v>174519.78000000003</v>
      </c>
      <c r="F11">
        <v>169379.32000000004</v>
      </c>
      <c r="G11">
        <v>164238.86000000004</v>
      </c>
      <c r="H11" s="3">
        <v>159098.4</v>
      </c>
      <c r="I11">
        <v>151283.04</v>
      </c>
      <c r="J11">
        <v>143467.68000000002</v>
      </c>
      <c r="K11">
        <v>135652.32000000004</v>
      </c>
      <c r="L11">
        <v>127836.96000000004</v>
      </c>
      <c r="M11" s="3">
        <v>120021.6</v>
      </c>
      <c r="N11">
        <f>N$7*Tabella3346[[#This Row],[2031%]]</f>
        <v>116865.42282267792</v>
      </c>
      <c r="O11">
        <f>O$7*Tabella3346[[#This Row],[2032%]]</f>
        <v>113709.24564535584</v>
      </c>
      <c r="P11">
        <f>P$7*Tabella3346[[#This Row],[2033%]]</f>
        <v>110553.06846803376</v>
      </c>
      <c r="Q11">
        <f>Q$7*Tabella3346[[#This Row],[2034%]]</f>
        <v>107396.89129071169</v>
      </c>
      <c r="R11">
        <f>R$7*Tabella3346[[#This Row],[2035%]]</f>
        <v>104240.71411338962</v>
      </c>
      <c r="S11">
        <f>S$7*Tabella3346[[#This Row],[2036%]]</f>
        <v>101084.53693606754</v>
      </c>
      <c r="T11">
        <f>T$7*Tabella3346[[#This Row],[2037%]]</f>
        <v>97928.359758745471</v>
      </c>
      <c r="U11">
        <f>U$7*Tabella3346[[#This Row],[2038%]]</f>
        <v>94772.182581423403</v>
      </c>
      <c r="V11">
        <f>V$7*Tabella3346[[#This Row],[2039%]]</f>
        <v>91616.005404101335</v>
      </c>
      <c r="W11">
        <f>W$7*Tabella3346[[#This Row],[2040%]]</f>
        <v>88459.828226779267</v>
      </c>
      <c r="X11">
        <f>X$7*Tabella3346[[#This Row],[2041%]]</f>
        <v>88459.828226779267</v>
      </c>
      <c r="Y11">
        <f>Y$7*Tabella3346[[#This Row],[2042%]]</f>
        <v>88459.828226779267</v>
      </c>
      <c r="Z11">
        <f>Z$7*Tabella3346[[#This Row],[2043%]]</f>
        <v>88459.828226779267</v>
      </c>
      <c r="AA11">
        <f>AA$7*Tabella3346[[#This Row],[2044%]]</f>
        <v>88459.828226779267</v>
      </c>
      <c r="AB11">
        <f>AB$7*Tabella3346[[#This Row],[2045%]]</f>
        <v>88459.828226779267</v>
      </c>
      <c r="AC11">
        <v>0.51928104575163403</v>
      </c>
      <c r="AD11">
        <v>0.51308622293078265</v>
      </c>
      <c r="AE11">
        <v>0.50668557536466785</v>
      </c>
      <c r="AF11">
        <v>0.50006867188573023</v>
      </c>
      <c r="AG11">
        <v>0.49322436434758338</v>
      </c>
      <c r="AH11">
        <v>0.48614072494669508</v>
      </c>
      <c r="AI11">
        <v>0.47325911373062651</v>
      </c>
      <c r="AJ11">
        <v>0.45974955277280871</v>
      </c>
      <c r="AK11">
        <v>0.44556497822599145</v>
      </c>
      <c r="AL11">
        <v>0.43065350258580182</v>
      </c>
      <c r="AM11">
        <v>0.41495778045838355</v>
      </c>
      <c r="AN11">
        <v>0.41495778045838355</v>
      </c>
      <c r="AO11">
        <v>0.41495778045838355</v>
      </c>
      <c r="AP11">
        <v>0.41495778045838355</v>
      </c>
      <c r="AQ11">
        <v>0.41495778045838355</v>
      </c>
      <c r="AR11">
        <v>0.41495778045838355</v>
      </c>
      <c r="AS11">
        <v>0.41495778045838355</v>
      </c>
      <c r="AT11">
        <v>0.41495778045838355</v>
      </c>
      <c r="AU11">
        <v>0.41495778045838355</v>
      </c>
      <c r="AV11">
        <v>0.41495778045838355</v>
      </c>
      <c r="AW11">
        <v>0.41495778045838355</v>
      </c>
      <c r="AX11">
        <v>0.41495778045838355</v>
      </c>
      <c r="AY11">
        <v>0.41495778045838355</v>
      </c>
      <c r="AZ11">
        <v>0.41495778045838355</v>
      </c>
      <c r="BA11">
        <v>0.41495778045838355</v>
      </c>
      <c r="BB11">
        <v>0.41495778045838355</v>
      </c>
    </row>
    <row r="12" spans="1:54" x14ac:dyDescent="0.35">
      <c r="B12" t="s">
        <v>10</v>
      </c>
      <c r="C12" s="3">
        <v>18956.899999999998</v>
      </c>
      <c r="D12">
        <v>17607.82</v>
      </c>
      <c r="E12">
        <v>16258.74</v>
      </c>
      <c r="F12">
        <v>14909.66</v>
      </c>
      <c r="G12">
        <v>13560.58</v>
      </c>
      <c r="H12" s="3">
        <v>12211.5</v>
      </c>
      <c r="I12">
        <v>10420.48</v>
      </c>
      <c r="J12">
        <v>8629.4599999999991</v>
      </c>
      <c r="K12">
        <v>6838.4399999999987</v>
      </c>
      <c r="L12">
        <v>5047.4199999999983</v>
      </c>
      <c r="M12" s="3">
        <v>3256.4</v>
      </c>
      <c r="N12">
        <f>N$7*Tabella3346[[#This Row],[2031%]]</f>
        <v>3170.7672858866104</v>
      </c>
      <c r="O12">
        <f>O$7*Tabella3346[[#This Row],[2032%]]</f>
        <v>3085.1345717732206</v>
      </c>
      <c r="P12">
        <f>P$7*Tabella3346[[#This Row],[2033%]]</f>
        <v>2999.5018576598309</v>
      </c>
      <c r="Q12">
        <f>Q$7*Tabella3346[[#This Row],[2034%]]</f>
        <v>2913.8691435464411</v>
      </c>
      <c r="R12">
        <f>R$7*Tabella3346[[#This Row],[2035%]]</f>
        <v>2828.2364294330519</v>
      </c>
      <c r="S12">
        <f>S$7*Tabella3346[[#This Row],[2036%]]</f>
        <v>2742.6037153196621</v>
      </c>
      <c r="T12">
        <f>T$7*Tabella3346[[#This Row],[2037%]]</f>
        <v>2656.9710012062728</v>
      </c>
      <c r="U12">
        <f>U$7*Tabella3346[[#This Row],[2038%]]</f>
        <v>2571.3382870928831</v>
      </c>
      <c r="V12">
        <f>V$7*Tabella3346[[#This Row],[2039%]]</f>
        <v>2485.7055729794938</v>
      </c>
      <c r="W12">
        <f>W$7*Tabella3346[[#This Row],[2040%]]</f>
        <v>2400.0728588661041</v>
      </c>
      <c r="X12">
        <f>X$7*Tabella3346[[#This Row],[2041%]]</f>
        <v>2400.0728588661041</v>
      </c>
      <c r="Y12">
        <f>Y$7*Tabella3346[[#This Row],[2042%]]</f>
        <v>2400.0728588661041</v>
      </c>
      <c r="Z12">
        <f>Z$7*Tabella3346[[#This Row],[2043%]]</f>
        <v>2400.0728588661041</v>
      </c>
      <c r="AA12">
        <f>AA$7*Tabella3346[[#This Row],[2044%]]</f>
        <v>2400.0728588661041</v>
      </c>
      <c r="AB12">
        <f>AB$7*Tabella3346[[#This Row],[2045%]]</f>
        <v>2400.0728588661041</v>
      </c>
      <c r="AC12">
        <v>5.3267973856209141E-2</v>
      </c>
      <c r="AD12">
        <v>5.0285638368539928E-2</v>
      </c>
      <c r="AE12">
        <v>4.7204213938411677E-2</v>
      </c>
      <c r="AF12">
        <v>4.4018678752918566E-2</v>
      </c>
      <c r="AG12">
        <v>4.0723665828443709E-2</v>
      </c>
      <c r="AH12">
        <v>3.7313432835820892E-2</v>
      </c>
      <c r="AI12">
        <v>3.2598413737902933E-2</v>
      </c>
      <c r="AJ12">
        <v>2.765354800238521E-2</v>
      </c>
      <c r="AK12">
        <v>2.2461608984643593E-2</v>
      </c>
      <c r="AL12">
        <v>1.7003604450713052E-2</v>
      </c>
      <c r="AM12">
        <v>1.1258544431041415E-2</v>
      </c>
      <c r="AN12">
        <v>1.1258544431041415E-2</v>
      </c>
      <c r="AO12">
        <v>1.1258544431041415E-2</v>
      </c>
      <c r="AP12">
        <v>1.1258544431041415E-2</v>
      </c>
      <c r="AQ12">
        <v>1.1258544431041415E-2</v>
      </c>
      <c r="AR12">
        <v>1.1258544431041415E-2</v>
      </c>
      <c r="AS12">
        <v>1.1258544431041415E-2</v>
      </c>
      <c r="AT12">
        <v>1.1258544431041415E-2</v>
      </c>
      <c r="AU12">
        <v>1.1258544431041415E-2</v>
      </c>
      <c r="AV12">
        <v>1.1258544431041415E-2</v>
      </c>
      <c r="AW12">
        <v>1.1258544431041415E-2</v>
      </c>
      <c r="AX12">
        <v>1.1258544431041415E-2</v>
      </c>
      <c r="AY12">
        <v>1.1258544431041415E-2</v>
      </c>
      <c r="AZ12">
        <v>1.1258544431041415E-2</v>
      </c>
      <c r="BA12">
        <v>1.1258544431041415E-2</v>
      </c>
      <c r="BB12">
        <v>1.1258544431041415E-2</v>
      </c>
    </row>
    <row r="14" spans="1:54" x14ac:dyDescent="0.35">
      <c r="B14" s="3" t="s">
        <v>5</v>
      </c>
      <c r="C14" s="3">
        <v>287493.59999999998</v>
      </c>
      <c r="D14">
        <v>287447.07999999996</v>
      </c>
      <c r="E14">
        <v>287400.55999999994</v>
      </c>
      <c r="F14">
        <v>287354.03999999992</v>
      </c>
      <c r="G14">
        <v>287307.5199999999</v>
      </c>
      <c r="H14" s="3">
        <v>287261</v>
      </c>
      <c r="I14">
        <v>284772.18</v>
      </c>
      <c r="J14">
        <v>282283.36</v>
      </c>
      <c r="K14">
        <v>279794.53999999998</v>
      </c>
      <c r="L14">
        <v>277305.71999999997</v>
      </c>
      <c r="M14" s="3">
        <v>274816.89999999997</v>
      </c>
      <c r="N14">
        <v>272328.07999999996</v>
      </c>
      <c r="O14">
        <v>269839.25999999995</v>
      </c>
      <c r="P14">
        <v>267350.43999999994</v>
      </c>
      <c r="Q14">
        <v>264861.61999999994</v>
      </c>
      <c r="R14">
        <v>262372.79999999993</v>
      </c>
      <c r="S14">
        <v>259883.97999999992</v>
      </c>
      <c r="T14">
        <v>257395.15999999992</v>
      </c>
      <c r="U14">
        <v>254906.33999999991</v>
      </c>
      <c r="V14">
        <v>252417.5199999999</v>
      </c>
      <c r="W14">
        <v>249928.6999999999</v>
      </c>
      <c r="X14">
        <v>249928.6999999999</v>
      </c>
      <c r="Y14">
        <v>249928.6999999999</v>
      </c>
      <c r="Z14">
        <v>249928.6999999999</v>
      </c>
      <c r="AA14">
        <v>249928.6999999999</v>
      </c>
      <c r="AB14">
        <v>249928.6999999999</v>
      </c>
      <c r="AC14">
        <v>1</v>
      </c>
      <c r="AD14">
        <v>1</v>
      </c>
      <c r="AE14">
        <v>1</v>
      </c>
      <c r="AF14">
        <v>1.0000000000000002</v>
      </c>
      <c r="AG14">
        <v>1.0000000000000002</v>
      </c>
      <c r="AH14">
        <v>1.0000000000000002</v>
      </c>
      <c r="AI14">
        <v>1</v>
      </c>
      <c r="AJ14">
        <v>1</v>
      </c>
      <c r="AK14">
        <v>1</v>
      </c>
      <c r="AL14">
        <v>1</v>
      </c>
      <c r="AM14">
        <v>0.99999999999999989</v>
      </c>
      <c r="AN14">
        <v>0.99999999999999989</v>
      </c>
      <c r="AO14">
        <v>0.99999999999999989</v>
      </c>
      <c r="AP14">
        <v>0.99999999999999989</v>
      </c>
      <c r="AQ14">
        <v>0.99999999999999989</v>
      </c>
      <c r="AR14">
        <v>0.99999999999999989</v>
      </c>
      <c r="AS14">
        <v>0.99999999999999989</v>
      </c>
      <c r="AT14">
        <v>0.99999999999999989</v>
      </c>
      <c r="AU14">
        <v>0.99999999999999989</v>
      </c>
      <c r="AV14">
        <v>0.99999999999999989</v>
      </c>
      <c r="AW14">
        <v>0.99999999999999989</v>
      </c>
      <c r="AX14">
        <v>0.99999999999999989</v>
      </c>
      <c r="AY14">
        <v>0.99999999999999989</v>
      </c>
      <c r="AZ14">
        <v>0.99999999999999989</v>
      </c>
      <c r="BA14">
        <v>0.99999999999999989</v>
      </c>
      <c r="BB14">
        <v>0.99999999999999989</v>
      </c>
    </row>
    <row r="15" spans="1:54" x14ac:dyDescent="0.35">
      <c r="B15" t="s">
        <v>13</v>
      </c>
      <c r="C15" s="3">
        <v>6629.1000000000031</v>
      </c>
      <c r="D15">
        <v>7024.5199999999986</v>
      </c>
      <c r="E15">
        <v>7419.9399999999941</v>
      </c>
      <c r="F15">
        <v>7815.3599999999897</v>
      </c>
      <c r="G15">
        <v>8210.7799999999861</v>
      </c>
      <c r="H15" s="3">
        <v>8606.1999999999825</v>
      </c>
      <c r="I15">
        <v>9443.5599999999813</v>
      </c>
      <c r="J15">
        <v>10280.91999999998</v>
      </c>
      <c r="K15">
        <v>11118.279999999979</v>
      </c>
      <c r="L15">
        <v>11955.639999999978</v>
      </c>
      <c r="M15" s="3">
        <v>12792.999999999975</v>
      </c>
      <c r="N15">
        <f>N$14*Tabella3346[[#This Row],[2031%]]</f>
        <v>12677.142953872171</v>
      </c>
      <c r="O15">
        <f>O$14*Tabella3346[[#This Row],[2032%]]</f>
        <v>12561.285907744366</v>
      </c>
      <c r="P15">
        <f>P$14*Tabella3346[[#This Row],[2033%]]</f>
        <v>12445.428861616563</v>
      </c>
      <c r="Q15">
        <f>Q$14*Tabella3346[[#This Row],[2034%]]</f>
        <v>12329.57181548876</v>
      </c>
      <c r="R15">
        <f>R$14*Tabella3346[[#This Row],[2035%]]</f>
        <v>12213.714769360955</v>
      </c>
      <c r="S15">
        <f>S$14*Tabella3346[[#This Row],[2036%]]</f>
        <v>12097.857723233152</v>
      </c>
      <c r="T15">
        <f>T$14*Tabella3346[[#This Row],[2037%]]</f>
        <v>11982.000677105349</v>
      </c>
      <c r="U15">
        <f>U$14*Tabella3346[[#This Row],[2038%]]</f>
        <v>11866.143630977545</v>
      </c>
      <c r="V15">
        <f>V$14*Tabella3346[[#This Row],[2039%]]</f>
        <v>11750.28658484974</v>
      </c>
      <c r="W15">
        <f>W$14*Tabella3346[[#This Row],[2040%]]</f>
        <v>11634.429538721937</v>
      </c>
      <c r="X15">
        <f>X$14*Tabella3346[[#This Row],[2041%]]</f>
        <v>11634.429538721937</v>
      </c>
      <c r="Y15">
        <f>Y$14*Tabella3346[[#This Row],[2042%]]</f>
        <v>11634.429538721937</v>
      </c>
      <c r="Z15">
        <f>Z$14*Tabella3346[[#This Row],[2043%]]</f>
        <v>11634.429538721937</v>
      </c>
      <c r="AA15">
        <f>AA$14*Tabella3346[[#This Row],[2044%]]</f>
        <v>11634.429538721937</v>
      </c>
      <c r="AB15">
        <f>AB$14*Tabella3346[[#This Row],[2045%]]</f>
        <v>11634.429538721937</v>
      </c>
      <c r="AC15">
        <v>2.305825242718448E-2</v>
      </c>
      <c r="AD15">
        <v>2.4437611263958568E-2</v>
      </c>
      <c r="AE15">
        <v>2.5817416639689204E-2</v>
      </c>
      <c r="AF15">
        <v>2.719766877124815E-2</v>
      </c>
      <c r="AG15">
        <v>2.8578367875647631E-2</v>
      </c>
      <c r="AH15">
        <v>2.9959514170040426E-2</v>
      </c>
      <c r="AI15">
        <v>3.316180674671234E-2</v>
      </c>
      <c r="AJ15">
        <v>3.642056690837172E-2</v>
      </c>
      <c r="AK15">
        <v>3.9737301521323397E-2</v>
      </c>
      <c r="AL15">
        <v>4.3113571548397844E-2</v>
      </c>
      <c r="AM15">
        <v>4.6550994498518745E-2</v>
      </c>
      <c r="AN15">
        <v>4.6550994498518745E-2</v>
      </c>
      <c r="AO15">
        <v>4.6550994498518745E-2</v>
      </c>
      <c r="AP15">
        <v>4.6550994498518745E-2</v>
      </c>
      <c r="AQ15">
        <v>4.6550994498518745E-2</v>
      </c>
      <c r="AR15">
        <v>4.6550994498518745E-2</v>
      </c>
      <c r="AS15">
        <v>4.6550994498518745E-2</v>
      </c>
      <c r="AT15">
        <v>4.6550994498518745E-2</v>
      </c>
      <c r="AU15">
        <v>4.6550994498518745E-2</v>
      </c>
      <c r="AV15">
        <v>4.6550994498518745E-2</v>
      </c>
      <c r="AW15">
        <v>4.6550994498518745E-2</v>
      </c>
      <c r="AX15">
        <v>4.6550994498518745E-2</v>
      </c>
      <c r="AY15">
        <v>4.6550994498518745E-2</v>
      </c>
      <c r="AZ15">
        <v>4.6550994498518745E-2</v>
      </c>
      <c r="BA15">
        <v>4.6550994498518745E-2</v>
      </c>
      <c r="BB15">
        <v>4.6550994498518745E-2</v>
      </c>
    </row>
    <row r="16" spans="1:54" x14ac:dyDescent="0.35">
      <c r="B16" t="s">
        <v>12</v>
      </c>
      <c r="C16" s="3">
        <v>34308.499999999993</v>
      </c>
      <c r="D16">
        <v>34541.1</v>
      </c>
      <c r="E16">
        <v>34773.700000000004</v>
      </c>
      <c r="F16">
        <v>35006.30000000001</v>
      </c>
      <c r="G16">
        <v>35238.900000000016</v>
      </c>
      <c r="H16" s="3">
        <v>35471.500000000007</v>
      </c>
      <c r="I16">
        <v>34634.140000000007</v>
      </c>
      <c r="J16">
        <v>33796.780000000006</v>
      </c>
      <c r="K16">
        <v>32959.420000000006</v>
      </c>
      <c r="L16">
        <v>32122.060000000009</v>
      </c>
      <c r="M16" s="3">
        <v>31284.700000000015</v>
      </c>
      <c r="N16">
        <f>N$14*Tabella3346[[#This Row],[2031%]]</f>
        <v>31001.376859923839</v>
      </c>
      <c r="O16">
        <f>O$14*Tabella3346[[#This Row],[2032%]]</f>
        <v>30718.053719847663</v>
      </c>
      <c r="P16">
        <f>P$14*Tabella3346[[#This Row],[2033%]]</f>
        <v>30434.730579771487</v>
      </c>
      <c r="Q16">
        <f>Q$14*Tabella3346[[#This Row],[2034%]]</f>
        <v>30151.407439695311</v>
      </c>
      <c r="R16">
        <f>R$14*Tabella3346[[#This Row],[2035%]]</f>
        <v>29868.084299619139</v>
      </c>
      <c r="S16">
        <f>S$14*Tabella3346[[#This Row],[2036%]]</f>
        <v>29584.761159542963</v>
      </c>
      <c r="T16">
        <f>T$14*Tabella3346[[#This Row],[2037%]]</f>
        <v>29301.438019466786</v>
      </c>
      <c r="U16">
        <f>U$14*Tabella3346[[#This Row],[2038%]]</f>
        <v>29018.11487939061</v>
      </c>
      <c r="V16">
        <f>V$14*Tabella3346[[#This Row],[2039%]]</f>
        <v>28734.791739314434</v>
      </c>
      <c r="W16">
        <f>W$14*Tabella3346[[#This Row],[2040%]]</f>
        <v>28451.468599238262</v>
      </c>
      <c r="X16">
        <f>X$14*Tabella3346[[#This Row],[2041%]]</f>
        <v>28451.468599238262</v>
      </c>
      <c r="Y16">
        <f>Y$14*Tabella3346[[#This Row],[2042%]]</f>
        <v>28451.468599238262</v>
      </c>
      <c r="Z16">
        <f>Z$14*Tabella3346[[#This Row],[2043%]]</f>
        <v>28451.468599238262</v>
      </c>
      <c r="AA16">
        <f>AA$14*Tabella3346[[#This Row],[2044%]]</f>
        <v>28451.468599238262</v>
      </c>
      <c r="AB16">
        <f>AB$14*Tabella3346[[#This Row],[2045%]]</f>
        <v>28451.468599238262</v>
      </c>
      <c r="AC16">
        <v>0.11933656957928801</v>
      </c>
      <c r="AD16">
        <v>0.12016507525489563</v>
      </c>
      <c r="AE16">
        <v>0.12099384914211724</v>
      </c>
      <c r="AF16">
        <v>0.12182289137121587</v>
      </c>
      <c r="AG16">
        <v>0.12265220207253896</v>
      </c>
      <c r="AH16">
        <v>0.12348178137651825</v>
      </c>
      <c r="AI16">
        <v>0.12162051784693297</v>
      </c>
      <c r="AJ16">
        <v>0.11972643375082402</v>
      </c>
      <c r="AK16">
        <v>0.11779865325463466</v>
      </c>
      <c r="AL16">
        <v>0.11583626908236877</v>
      </c>
      <c r="AM16">
        <v>0.11383834109183248</v>
      </c>
      <c r="AN16">
        <v>0.11383834109183248</v>
      </c>
      <c r="AO16">
        <v>0.11383834109183248</v>
      </c>
      <c r="AP16">
        <v>0.11383834109183248</v>
      </c>
      <c r="AQ16">
        <v>0.11383834109183248</v>
      </c>
      <c r="AR16">
        <v>0.11383834109183248</v>
      </c>
      <c r="AS16">
        <v>0.11383834109183248</v>
      </c>
      <c r="AT16">
        <v>0.11383834109183248</v>
      </c>
      <c r="AU16">
        <v>0.11383834109183248</v>
      </c>
      <c r="AV16">
        <v>0.11383834109183248</v>
      </c>
      <c r="AW16">
        <v>0.11383834109183248</v>
      </c>
      <c r="AX16">
        <v>0.11383834109183248</v>
      </c>
      <c r="AY16">
        <v>0.11383834109183248</v>
      </c>
      <c r="AZ16">
        <v>0.11383834109183248</v>
      </c>
      <c r="BA16">
        <v>0.11383834109183248</v>
      </c>
      <c r="BB16">
        <v>0.11383834109183248</v>
      </c>
    </row>
    <row r="17" spans="2:54" x14ac:dyDescent="0.35">
      <c r="B17" t="s">
        <v>11</v>
      </c>
      <c r="C17" s="3">
        <v>111066.49999999999</v>
      </c>
      <c r="D17">
        <v>111113.01999999999</v>
      </c>
      <c r="E17">
        <v>111159.54</v>
      </c>
      <c r="F17">
        <v>111206.06</v>
      </c>
      <c r="G17">
        <v>111252.58</v>
      </c>
      <c r="H17" s="3">
        <v>111299.1</v>
      </c>
      <c r="I17">
        <v>111136.28</v>
      </c>
      <c r="J17">
        <v>110973.45999999999</v>
      </c>
      <c r="K17">
        <v>110810.63999999998</v>
      </c>
      <c r="L17">
        <v>110647.81999999998</v>
      </c>
      <c r="M17" s="3">
        <v>110485</v>
      </c>
      <c r="N17">
        <f>N$14*Tabella3346[[#This Row],[2031%]]</f>
        <v>109484.41641980533</v>
      </c>
      <c r="O17">
        <f>O$14*Tabella3346[[#This Row],[2032%]]</f>
        <v>108483.83283961067</v>
      </c>
      <c r="P17">
        <f>P$14*Tabella3346[[#This Row],[2033%]]</f>
        <v>107483.24925941598</v>
      </c>
      <c r="Q17">
        <f>Q$14*Tabella3346[[#This Row],[2034%]]</f>
        <v>106482.66567922132</v>
      </c>
      <c r="R17">
        <f>R$14*Tabella3346[[#This Row],[2035%]]</f>
        <v>105482.08209902665</v>
      </c>
      <c r="S17">
        <f>S$14*Tabella3346[[#This Row],[2036%]]</f>
        <v>104481.49851883198</v>
      </c>
      <c r="T17">
        <f>T$14*Tabella3346[[#This Row],[2037%]]</f>
        <v>103480.9149386373</v>
      </c>
      <c r="U17">
        <f>U$14*Tabella3346[[#This Row],[2038%]]</f>
        <v>102480.33135844264</v>
      </c>
      <c r="V17">
        <f>V$14*Tabella3346[[#This Row],[2039%]]</f>
        <v>101479.74777824797</v>
      </c>
      <c r="W17">
        <f>W$14*Tabella3346[[#This Row],[2040%]]</f>
        <v>100479.1641980533</v>
      </c>
      <c r="X17">
        <f>X$14*Tabella3346[[#This Row],[2041%]]</f>
        <v>100479.1641980533</v>
      </c>
      <c r="Y17">
        <f>Y$14*Tabella3346[[#This Row],[2042%]]</f>
        <v>100479.1641980533</v>
      </c>
      <c r="Z17">
        <f>Z$14*Tabella3346[[#This Row],[2043%]]</f>
        <v>100479.1641980533</v>
      </c>
      <c r="AA17">
        <f>AA$14*Tabella3346[[#This Row],[2044%]]</f>
        <v>100479.1641980533</v>
      </c>
      <c r="AB17">
        <f>AB$14*Tabella3346[[#This Row],[2045%]]</f>
        <v>100479.1641980533</v>
      </c>
      <c r="AC17">
        <v>0.38632686084142392</v>
      </c>
      <c r="AD17">
        <v>0.38655122188056323</v>
      </c>
      <c r="AE17">
        <v>0.38677565555195864</v>
      </c>
      <c r="AF17">
        <v>0.38700016189088565</v>
      </c>
      <c r="AG17">
        <v>0.38722474093264264</v>
      </c>
      <c r="AH17">
        <v>0.38744939271255063</v>
      </c>
      <c r="AI17">
        <v>0.39026382422608841</v>
      </c>
      <c r="AJ17">
        <v>0.39312788398154253</v>
      </c>
      <c r="AK17">
        <v>0.39604289633385981</v>
      </c>
      <c r="AL17">
        <v>0.3990102331823519</v>
      </c>
      <c r="AM17">
        <v>0.40203131612357179</v>
      </c>
      <c r="AN17">
        <v>0.40203131612357179</v>
      </c>
      <c r="AO17">
        <v>0.40203131612357179</v>
      </c>
      <c r="AP17">
        <v>0.40203131612357179</v>
      </c>
      <c r="AQ17">
        <v>0.40203131612357179</v>
      </c>
      <c r="AR17">
        <v>0.40203131612357179</v>
      </c>
      <c r="AS17">
        <v>0.40203131612357179</v>
      </c>
      <c r="AT17">
        <v>0.40203131612357179</v>
      </c>
      <c r="AU17">
        <v>0.40203131612357179</v>
      </c>
      <c r="AV17">
        <v>0.40203131612357179</v>
      </c>
      <c r="AW17">
        <v>0.40203131612357179</v>
      </c>
      <c r="AX17">
        <v>0.40203131612357179</v>
      </c>
      <c r="AY17">
        <v>0.40203131612357179</v>
      </c>
      <c r="AZ17">
        <v>0.40203131612357179</v>
      </c>
      <c r="BA17">
        <v>0.40203131612357179</v>
      </c>
      <c r="BB17">
        <v>0.40203131612357179</v>
      </c>
    </row>
    <row r="18" spans="2:54" x14ac:dyDescent="0.35">
      <c r="B18" t="s">
        <v>9</v>
      </c>
      <c r="C18" s="3">
        <v>98273.499999999985</v>
      </c>
      <c r="D18">
        <v>97552.439999999988</v>
      </c>
      <c r="E18">
        <v>96831.37999999999</v>
      </c>
      <c r="F18">
        <v>96110.319999999992</v>
      </c>
      <c r="G18">
        <v>95389.26</v>
      </c>
      <c r="H18" s="3">
        <v>94668.200000000012</v>
      </c>
      <c r="I18">
        <v>93621.500000000015</v>
      </c>
      <c r="J18">
        <v>92574.800000000017</v>
      </c>
      <c r="K18">
        <v>91528.10000000002</v>
      </c>
      <c r="L18">
        <v>90481.400000000023</v>
      </c>
      <c r="M18" s="3">
        <v>89434.7</v>
      </c>
      <c r="N18">
        <f>N$14*Tabella3346[[#This Row],[2031%]]</f>
        <v>88624.75392297926</v>
      </c>
      <c r="O18">
        <f>O$14*Tabella3346[[#This Row],[2032%]]</f>
        <v>87814.807845958523</v>
      </c>
      <c r="P18">
        <f>P$14*Tabella3346[[#This Row],[2033%]]</f>
        <v>87004.861768937772</v>
      </c>
      <c r="Q18">
        <f>Q$14*Tabella3346[[#This Row],[2034%]]</f>
        <v>86194.915691917035</v>
      </c>
      <c r="R18">
        <f>R$14*Tabella3346[[#This Row],[2035%]]</f>
        <v>85384.969614896298</v>
      </c>
      <c r="S18">
        <f>S$14*Tabella3346[[#This Row],[2036%]]</f>
        <v>84575.023537875561</v>
      </c>
      <c r="T18">
        <f>T$14*Tabella3346[[#This Row],[2037%]]</f>
        <v>83765.077460854824</v>
      </c>
      <c r="U18">
        <f>U$14*Tabella3346[[#This Row],[2038%]]</f>
        <v>82955.131383834087</v>
      </c>
      <c r="V18">
        <f>V$14*Tabella3346[[#This Row],[2039%]]</f>
        <v>82145.18530681335</v>
      </c>
      <c r="W18">
        <f>W$14*Tabella3346[[#This Row],[2040%]]</f>
        <v>81335.239229792613</v>
      </c>
      <c r="X18">
        <f>X$14*Tabella3346[[#This Row],[2041%]]</f>
        <v>81335.239229792613</v>
      </c>
      <c r="Y18">
        <f>Y$14*Tabella3346[[#This Row],[2042%]]</f>
        <v>81335.239229792613</v>
      </c>
      <c r="Z18">
        <f>Z$14*Tabella3346[[#This Row],[2043%]]</f>
        <v>81335.239229792613</v>
      </c>
      <c r="AA18">
        <f>AA$14*Tabella3346[[#This Row],[2044%]]</f>
        <v>81335.239229792613</v>
      </c>
      <c r="AB18">
        <f>AB$14*Tabella3346[[#This Row],[2045%]]</f>
        <v>81335.239229792613</v>
      </c>
      <c r="AC18">
        <v>0.34182847896440127</v>
      </c>
      <c r="AD18">
        <v>0.33937530344715972</v>
      </c>
      <c r="AE18">
        <v>0.33692133376497252</v>
      </c>
      <c r="AF18">
        <v>0.33446656953213538</v>
      </c>
      <c r="AG18">
        <v>0.33201101036269437</v>
      </c>
      <c r="AH18">
        <v>0.32955465587044541</v>
      </c>
      <c r="AI18">
        <v>0.32875929102344204</v>
      </c>
      <c r="AJ18">
        <v>0.32794990112063288</v>
      </c>
      <c r="AK18">
        <v>0.32712611189625085</v>
      </c>
      <c r="AL18">
        <v>0.32628753564838126</v>
      </c>
      <c r="AM18">
        <v>0.3254337706305544</v>
      </c>
      <c r="AN18">
        <v>0.3254337706305544</v>
      </c>
      <c r="AO18">
        <v>0.3254337706305544</v>
      </c>
      <c r="AP18">
        <v>0.3254337706305544</v>
      </c>
      <c r="AQ18">
        <v>0.3254337706305544</v>
      </c>
      <c r="AR18">
        <v>0.3254337706305544</v>
      </c>
      <c r="AS18">
        <v>0.3254337706305544</v>
      </c>
      <c r="AT18">
        <v>0.3254337706305544</v>
      </c>
      <c r="AU18">
        <v>0.3254337706305544</v>
      </c>
      <c r="AV18">
        <v>0.3254337706305544</v>
      </c>
      <c r="AW18">
        <v>0.3254337706305544</v>
      </c>
      <c r="AX18">
        <v>0.3254337706305544</v>
      </c>
      <c r="AY18">
        <v>0.3254337706305544</v>
      </c>
      <c r="AZ18">
        <v>0.3254337706305544</v>
      </c>
      <c r="BA18">
        <v>0.3254337706305544</v>
      </c>
      <c r="BB18">
        <v>0.3254337706305544</v>
      </c>
    </row>
    <row r="19" spans="2:54" x14ac:dyDescent="0.35">
      <c r="B19" t="s">
        <v>10</v>
      </c>
      <c r="C19" s="3">
        <v>19422.100000000002</v>
      </c>
      <c r="D19">
        <v>18956.900000000001</v>
      </c>
      <c r="E19">
        <v>18491.7</v>
      </c>
      <c r="F19">
        <v>18026.5</v>
      </c>
      <c r="G19">
        <v>17561.3</v>
      </c>
      <c r="H19" s="3">
        <v>17096.100000000002</v>
      </c>
      <c r="I19">
        <v>16677.420000000002</v>
      </c>
      <c r="J19">
        <v>16258.740000000002</v>
      </c>
      <c r="K19">
        <v>15840.060000000001</v>
      </c>
      <c r="L19">
        <v>15421.380000000001</v>
      </c>
      <c r="M19" s="3">
        <v>15002.699999999997</v>
      </c>
      <c r="N19">
        <f>N$14*Tabella3346[[#This Row],[2031%]]</f>
        <v>14866.8312822683</v>
      </c>
      <c r="O19">
        <f>O$14*Tabella3346[[#This Row],[2032%]]</f>
        <v>14730.962564536601</v>
      </c>
      <c r="P19">
        <f>P$14*Tabella3346[[#This Row],[2033%]]</f>
        <v>14595.093846804904</v>
      </c>
      <c r="Q19">
        <f>Q$14*Tabella3346[[#This Row],[2034%]]</f>
        <v>14459.225129073207</v>
      </c>
      <c r="R19">
        <f>R$14*Tabella3346[[#This Row],[2035%]]</f>
        <v>14323.35641134151</v>
      </c>
      <c r="S19">
        <f>S$14*Tabella3346[[#This Row],[2036%]]</f>
        <v>14187.487693609814</v>
      </c>
      <c r="T19">
        <f>T$14*Tabella3346[[#This Row],[2037%]]</f>
        <v>14051.618975878115</v>
      </c>
      <c r="U19">
        <f>U$14*Tabella3346[[#This Row],[2038%]]</f>
        <v>13915.750258146418</v>
      </c>
      <c r="V19">
        <f>V$14*Tabella3346[[#This Row],[2039%]]</f>
        <v>13779.881540414721</v>
      </c>
      <c r="W19">
        <f>W$14*Tabella3346[[#This Row],[2040%]]</f>
        <v>13644.012822683024</v>
      </c>
      <c r="X19">
        <f>X$14*Tabella3346[[#This Row],[2041%]]</f>
        <v>13644.012822683024</v>
      </c>
      <c r="Y19">
        <f>Y$14*Tabella3346[[#This Row],[2042%]]</f>
        <v>13644.012822683024</v>
      </c>
      <c r="Z19">
        <f>Z$14*Tabella3346[[#This Row],[2043%]]</f>
        <v>13644.012822683024</v>
      </c>
      <c r="AA19">
        <f>AA$14*Tabella3346[[#This Row],[2044%]]</f>
        <v>13644.012822683024</v>
      </c>
      <c r="AB19">
        <f>AB$14*Tabella3346[[#This Row],[2045%]]</f>
        <v>13644.012822683024</v>
      </c>
      <c r="AC19">
        <v>6.7556634304207136E-2</v>
      </c>
      <c r="AD19">
        <v>6.5949182715649798E-2</v>
      </c>
      <c r="AE19">
        <v>6.4341210747814848E-2</v>
      </c>
      <c r="AF19">
        <v>6.2732718147968283E-2</v>
      </c>
      <c r="AG19">
        <v>6.1123704663212451E-2</v>
      </c>
      <c r="AH19">
        <v>5.9514170040485835E-2</v>
      </c>
      <c r="AI19">
        <v>5.8564077432001968E-2</v>
      </c>
      <c r="AJ19">
        <v>5.7597231377719188E-2</v>
      </c>
      <c r="AK19">
        <v>5.6613184803391815E-2</v>
      </c>
      <c r="AL19">
        <v>5.5611474584801215E-2</v>
      </c>
      <c r="AM19">
        <v>5.4591620820990262E-2</v>
      </c>
      <c r="AN19">
        <v>5.4591620820990262E-2</v>
      </c>
      <c r="AO19">
        <v>5.4591620820990262E-2</v>
      </c>
      <c r="AP19">
        <v>5.4591620820990262E-2</v>
      </c>
      <c r="AQ19">
        <v>5.4591620820990262E-2</v>
      </c>
      <c r="AR19">
        <v>5.4591620820990262E-2</v>
      </c>
      <c r="AS19">
        <v>5.4591620820990262E-2</v>
      </c>
      <c r="AT19">
        <v>5.4591620820990262E-2</v>
      </c>
      <c r="AU19">
        <v>5.4591620820990262E-2</v>
      </c>
      <c r="AV19">
        <v>5.4591620820990262E-2</v>
      </c>
      <c r="AW19">
        <v>5.4591620820990262E-2</v>
      </c>
      <c r="AX19">
        <v>5.4591620820990262E-2</v>
      </c>
      <c r="AY19">
        <v>5.4591620820990262E-2</v>
      </c>
      <c r="AZ19">
        <v>5.4591620820990262E-2</v>
      </c>
      <c r="BA19">
        <v>5.4591620820990262E-2</v>
      </c>
      <c r="BB19">
        <v>5.4591620820990262E-2</v>
      </c>
    </row>
    <row r="20" spans="2:54" x14ac:dyDescent="0.35">
      <c r="B20" t="s">
        <v>14</v>
      </c>
      <c r="C20" s="3">
        <v>17793.900000000001</v>
      </c>
      <c r="D20">
        <v>18259.100000000002</v>
      </c>
      <c r="E20">
        <v>18724.300000000003</v>
      </c>
      <c r="F20">
        <v>19189.500000000004</v>
      </c>
      <c r="G20">
        <v>19654.700000000004</v>
      </c>
      <c r="H20" s="3">
        <v>20119.900000000001</v>
      </c>
      <c r="I20">
        <v>19259.280000000002</v>
      </c>
      <c r="J20">
        <v>18398.660000000003</v>
      </c>
      <c r="K20">
        <v>17538.040000000005</v>
      </c>
      <c r="L20">
        <v>16677.420000000006</v>
      </c>
      <c r="M20" s="3">
        <v>15816.800000000001</v>
      </c>
      <c r="N20">
        <f>N$14*Tabella3346[[#This Row],[2031%]]</f>
        <v>15673.55856115108</v>
      </c>
      <c r="O20">
        <f>O$14*Tabella3346[[#This Row],[2032%]]</f>
        <v>15530.317122302158</v>
      </c>
      <c r="P20">
        <f>P$14*Tabella3346[[#This Row],[2033%]]</f>
        <v>15387.075683453237</v>
      </c>
      <c r="Q20">
        <f>Q$14*Tabella3346[[#This Row],[2034%]]</f>
        <v>15243.834244604315</v>
      </c>
      <c r="R20">
        <f>R$14*Tabella3346[[#This Row],[2035%]]</f>
        <v>15100.592805755394</v>
      </c>
      <c r="S20">
        <f>S$14*Tabella3346[[#This Row],[2036%]]</f>
        <v>14957.351366906472</v>
      </c>
      <c r="T20">
        <f>T$14*Tabella3346[[#This Row],[2037%]]</f>
        <v>14814.109928057551</v>
      </c>
      <c r="U20">
        <f>U$14*Tabella3346[[#This Row],[2038%]]</f>
        <v>14670.868489208631</v>
      </c>
      <c r="V20">
        <f>V$14*Tabella3346[[#This Row],[2039%]]</f>
        <v>14527.62705035971</v>
      </c>
      <c r="W20">
        <f>W$14*Tabella3346[[#This Row],[2040%]]</f>
        <v>14384.385611510788</v>
      </c>
      <c r="X20">
        <f>X$14*Tabella3346[[#This Row],[2041%]]</f>
        <v>14384.385611510788</v>
      </c>
      <c r="Y20">
        <f>Y$14*Tabella3346[[#This Row],[2042%]]</f>
        <v>14384.385611510788</v>
      </c>
      <c r="Z20">
        <f>Z$14*Tabella3346[[#This Row],[2043%]]</f>
        <v>14384.385611510788</v>
      </c>
      <c r="AA20">
        <f>AA$14*Tabella3346[[#This Row],[2044%]]</f>
        <v>14384.385611510788</v>
      </c>
      <c r="AB20">
        <f>AB$14*Tabella3346[[#This Row],[2045%]]</f>
        <v>14384.385611510788</v>
      </c>
      <c r="AC20">
        <v>6.1893203883495153E-2</v>
      </c>
      <c r="AD20">
        <v>6.3521605437773118E-2</v>
      </c>
      <c r="AE20">
        <v>6.5150534153447737E-2</v>
      </c>
      <c r="AF20">
        <v>6.6779990286546895E-2</v>
      </c>
      <c r="AG20">
        <v>6.8409974093264284E-2</v>
      </c>
      <c r="AH20">
        <v>7.0040485829959517E-2</v>
      </c>
      <c r="AI20">
        <v>6.7630482724822361E-2</v>
      </c>
      <c r="AJ20">
        <v>6.51779828609097E-2</v>
      </c>
      <c r="AK20">
        <v>6.2681852190539553E-2</v>
      </c>
      <c r="AL20">
        <v>6.0140915953699067E-2</v>
      </c>
      <c r="AM20">
        <v>5.7553956834532384E-2</v>
      </c>
      <c r="AN20">
        <v>5.7553956834532384E-2</v>
      </c>
      <c r="AO20">
        <v>5.7553956834532384E-2</v>
      </c>
      <c r="AP20">
        <v>5.7553956834532384E-2</v>
      </c>
      <c r="AQ20">
        <v>5.7553956834532384E-2</v>
      </c>
      <c r="AR20">
        <v>5.7553956834532384E-2</v>
      </c>
      <c r="AS20">
        <v>5.7553956834532384E-2</v>
      </c>
      <c r="AT20">
        <v>5.7553956834532384E-2</v>
      </c>
      <c r="AU20">
        <v>5.7553956834532384E-2</v>
      </c>
      <c r="AV20">
        <v>5.7553956834532384E-2</v>
      </c>
      <c r="AW20">
        <v>5.7553956834532384E-2</v>
      </c>
      <c r="AX20">
        <v>5.7553956834532384E-2</v>
      </c>
      <c r="AY20">
        <v>5.7553956834532384E-2</v>
      </c>
      <c r="AZ20">
        <v>5.7553956834532384E-2</v>
      </c>
      <c r="BA20">
        <v>5.7553956834532384E-2</v>
      </c>
      <c r="BB20">
        <v>5.7553956834532384E-2</v>
      </c>
    </row>
    <row r="22" spans="2:54" x14ac:dyDescent="0.35">
      <c r="B22" s="3" t="s">
        <v>6</v>
      </c>
      <c r="C22" s="3">
        <v>374951.2</v>
      </c>
      <c r="D22">
        <v>381836.16000000003</v>
      </c>
      <c r="E22">
        <v>388721.12000000005</v>
      </c>
      <c r="F22">
        <v>395606.08000000007</v>
      </c>
      <c r="G22">
        <v>402491.0400000001</v>
      </c>
      <c r="H22" s="3">
        <v>409376.00000000006</v>
      </c>
      <c r="I22">
        <v>402886.46</v>
      </c>
      <c r="J22">
        <v>396396.92</v>
      </c>
      <c r="K22">
        <v>389907.37999999995</v>
      </c>
      <c r="L22">
        <v>383417.83999999991</v>
      </c>
      <c r="M22" s="3">
        <v>376928.3</v>
      </c>
      <c r="N22">
        <v>370438.75999999995</v>
      </c>
      <c r="O22">
        <v>363949.21999999991</v>
      </c>
      <c r="P22">
        <v>357459.67999999988</v>
      </c>
      <c r="Q22">
        <v>350970.13999999984</v>
      </c>
      <c r="R22">
        <v>344480.5999999998</v>
      </c>
      <c r="S22">
        <v>337991.05999999976</v>
      </c>
      <c r="T22">
        <v>331501.51999999973</v>
      </c>
      <c r="U22">
        <v>325011.97999999969</v>
      </c>
      <c r="V22">
        <v>318522.43999999965</v>
      </c>
      <c r="W22">
        <v>312032.89999999962</v>
      </c>
      <c r="X22">
        <v>312032.89999999962</v>
      </c>
      <c r="Y22">
        <v>312032.89999999962</v>
      </c>
      <c r="Z22">
        <v>312032.89999999962</v>
      </c>
      <c r="AA22">
        <v>312032.89999999962</v>
      </c>
      <c r="AB22">
        <v>312032.89999999962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0.99999999999999989</v>
      </c>
      <c r="AN22">
        <v>0.99999999999999989</v>
      </c>
      <c r="AO22">
        <v>0.99999999999999989</v>
      </c>
      <c r="AP22">
        <v>0.99999999999999989</v>
      </c>
      <c r="AQ22">
        <v>0.99999999999999989</v>
      </c>
      <c r="AR22">
        <v>0.99999999999999989</v>
      </c>
      <c r="AS22">
        <v>0.99999999999999989</v>
      </c>
      <c r="AT22">
        <v>0.99999999999999989</v>
      </c>
      <c r="AU22">
        <v>0.99999999999999989</v>
      </c>
      <c r="AV22">
        <v>0.99999999999999989</v>
      </c>
      <c r="AW22">
        <v>0.99999999999999989</v>
      </c>
      <c r="AX22">
        <v>0.99999999999999989</v>
      </c>
      <c r="AY22">
        <v>0.99999999999999989</v>
      </c>
      <c r="AZ22">
        <v>0.99999999999999989</v>
      </c>
      <c r="BA22">
        <v>0.99999999999999989</v>
      </c>
      <c r="BB22">
        <v>0.99999999999999989</v>
      </c>
    </row>
    <row r="23" spans="2:54" x14ac:dyDescent="0.35">
      <c r="B23" t="s">
        <v>11</v>
      </c>
      <c r="C23" s="3">
        <v>11513.700000000023</v>
      </c>
      <c r="D23">
        <v>13839.700000000006</v>
      </c>
      <c r="E23">
        <v>16165.69999999999</v>
      </c>
      <c r="F23">
        <v>18491.699999999972</v>
      </c>
      <c r="G23">
        <v>20817.699999999953</v>
      </c>
      <c r="H23" s="3">
        <v>23143.699999999939</v>
      </c>
      <c r="I23">
        <v>27539.839999999942</v>
      </c>
      <c r="J23">
        <v>31935.979999999945</v>
      </c>
      <c r="K23">
        <v>36332.119999999944</v>
      </c>
      <c r="L23">
        <v>40728.259999999944</v>
      </c>
      <c r="M23" s="3">
        <v>45124.399999999951</v>
      </c>
      <c r="N23">
        <v>44347.497340327005</v>
      </c>
      <c r="O23">
        <v>43570.59468065406</v>
      </c>
      <c r="P23">
        <v>42793.692020981114</v>
      </c>
      <c r="Q23">
        <v>42016.789361308169</v>
      </c>
      <c r="R23">
        <v>41239.886701635231</v>
      </c>
      <c r="S23">
        <v>40462.984041962285</v>
      </c>
      <c r="T23">
        <v>39686.08138228934</v>
      </c>
      <c r="U23">
        <v>38909.178722616394</v>
      </c>
      <c r="V23">
        <v>38132.276062943449</v>
      </c>
      <c r="W23">
        <v>37355.373403270511</v>
      </c>
      <c r="X23">
        <v>37355.373403270511</v>
      </c>
      <c r="Y23">
        <v>37355.373403270511</v>
      </c>
      <c r="Z23">
        <v>37355.373403270511</v>
      </c>
      <c r="AA23">
        <v>37355.373403270511</v>
      </c>
      <c r="AB23">
        <v>37355.373403270511</v>
      </c>
      <c r="AC23">
        <v>3.0707196029776736E-2</v>
      </c>
      <c r="AD23">
        <v>3.6245126705653032E-2</v>
      </c>
      <c r="AE23">
        <v>4.1586883676400156E-2</v>
      </c>
      <c r="AF23">
        <v>4.6742709313264269E-2</v>
      </c>
      <c r="AG23">
        <v>5.1722145168746986E-2</v>
      </c>
      <c r="AH23">
        <v>5.6534090909090749E-2</v>
      </c>
      <c r="AI23">
        <v>6.8356330465908291E-2</v>
      </c>
      <c r="AJ23">
        <v>8.056566130735815E-2</v>
      </c>
      <c r="AK23">
        <v>9.3181411441865883E-2</v>
      </c>
      <c r="AL23">
        <v>0.10622421742295547</v>
      </c>
      <c r="AM23">
        <v>0.11971613699475457</v>
      </c>
      <c r="AN23">
        <v>0.11971613699475457</v>
      </c>
      <c r="AO23">
        <v>0.11971613699475457</v>
      </c>
      <c r="AP23">
        <v>0.11971613699475457</v>
      </c>
      <c r="AQ23">
        <v>0.11971613699475457</v>
      </c>
      <c r="AR23">
        <v>0.11971613699475457</v>
      </c>
      <c r="AS23">
        <v>0.11971613699475457</v>
      </c>
      <c r="AT23">
        <v>0.11971613699475457</v>
      </c>
      <c r="AU23">
        <v>0.11971613699475457</v>
      </c>
      <c r="AV23">
        <v>0.11971613699475457</v>
      </c>
      <c r="AW23">
        <v>0.11971613699475457</v>
      </c>
      <c r="AX23">
        <v>0.11971613699475457</v>
      </c>
      <c r="AY23">
        <v>0.11971613699475457</v>
      </c>
      <c r="AZ23">
        <v>0.11971613699475457</v>
      </c>
      <c r="BA23">
        <v>0.11971613699475457</v>
      </c>
      <c r="BB23">
        <v>0.11971613699475457</v>
      </c>
    </row>
    <row r="24" spans="2:54" x14ac:dyDescent="0.35">
      <c r="B24" t="s">
        <v>15</v>
      </c>
      <c r="C24" s="3">
        <v>14304.900000000005</v>
      </c>
      <c r="D24">
        <v>14607.280000000012</v>
      </c>
      <c r="E24">
        <v>14909.660000000018</v>
      </c>
      <c r="F24">
        <v>15212.040000000025</v>
      </c>
      <c r="G24">
        <v>15514.420000000031</v>
      </c>
      <c r="H24" s="3">
        <v>15816.800000000034</v>
      </c>
      <c r="I24">
        <v>19584.920000000027</v>
      </c>
      <c r="J24">
        <v>23353.040000000023</v>
      </c>
      <c r="K24">
        <v>27121.160000000018</v>
      </c>
      <c r="L24">
        <v>30889.280000000013</v>
      </c>
      <c r="M24" s="3">
        <v>34657.4</v>
      </c>
      <c r="N24">
        <v>34060.706720148097</v>
      </c>
      <c r="O24">
        <v>33464.013440296199</v>
      </c>
      <c r="P24">
        <v>32867.320160444295</v>
      </c>
      <c r="Q24">
        <v>32270.626880592397</v>
      </c>
      <c r="R24">
        <v>31673.933600740496</v>
      </c>
      <c r="S24">
        <v>31077.240320888595</v>
      </c>
      <c r="T24">
        <v>30480.547041036694</v>
      </c>
      <c r="U24">
        <v>29883.853761184793</v>
      </c>
      <c r="V24">
        <v>29287.160481332892</v>
      </c>
      <c r="W24">
        <v>28690.467201480991</v>
      </c>
      <c r="X24">
        <v>28690.467201480991</v>
      </c>
      <c r="Y24">
        <v>28690.467201480991</v>
      </c>
      <c r="Z24">
        <v>28690.467201480991</v>
      </c>
      <c r="AA24">
        <v>28690.467201480991</v>
      </c>
      <c r="AB24">
        <v>28690.467201480991</v>
      </c>
      <c r="AC24">
        <v>3.8151364764268003E-2</v>
      </c>
      <c r="AD24">
        <v>3.8255360623781702E-2</v>
      </c>
      <c r="AE24">
        <v>3.8355672570607985E-2</v>
      </c>
      <c r="AF24">
        <v>3.8452492944496763E-2</v>
      </c>
      <c r="AG24">
        <v>3.854600092464177E-2</v>
      </c>
      <c r="AH24">
        <v>3.8636363636363712E-2</v>
      </c>
      <c r="AI24">
        <v>4.8611512037411299E-2</v>
      </c>
      <c r="AJ24">
        <v>5.8913273090012971E-2</v>
      </c>
      <c r="AK24">
        <v>6.9557955019984546E-2</v>
      </c>
      <c r="AL24">
        <v>8.0562970152875571E-2</v>
      </c>
      <c r="AM24">
        <v>9.1946929959888929E-2</v>
      </c>
      <c r="AN24">
        <v>9.1946929959888929E-2</v>
      </c>
      <c r="AO24">
        <v>9.1946929959888929E-2</v>
      </c>
      <c r="AP24">
        <v>9.1946929959888929E-2</v>
      </c>
      <c r="AQ24">
        <v>9.1946929959888929E-2</v>
      </c>
      <c r="AR24">
        <v>9.1946929959888929E-2</v>
      </c>
      <c r="AS24">
        <v>9.1946929959888929E-2</v>
      </c>
      <c r="AT24">
        <v>9.1946929959888929E-2</v>
      </c>
      <c r="AU24">
        <v>9.1946929959888929E-2</v>
      </c>
      <c r="AV24">
        <v>9.1946929959888929E-2</v>
      </c>
      <c r="AW24">
        <v>9.1946929959888929E-2</v>
      </c>
      <c r="AX24">
        <v>9.1946929959888929E-2</v>
      </c>
      <c r="AY24">
        <v>9.1946929959888929E-2</v>
      </c>
      <c r="AZ24">
        <v>9.1946929959888929E-2</v>
      </c>
      <c r="BA24">
        <v>9.1946929959888929E-2</v>
      </c>
      <c r="BB24">
        <v>9.1946929959888929E-2</v>
      </c>
    </row>
    <row r="25" spans="2:54" x14ac:dyDescent="0.35">
      <c r="B25" t="s">
        <v>117</v>
      </c>
      <c r="C25" s="3">
        <v>349132.6</v>
      </c>
      <c r="D25">
        <v>353077.12384000001</v>
      </c>
      <c r="E25">
        <v>357007.87776</v>
      </c>
      <c r="F25">
        <v>360924.86176</v>
      </c>
      <c r="G25">
        <v>364828.07584000006</v>
      </c>
      <c r="H25" s="3">
        <v>368717.52</v>
      </c>
      <c r="I25">
        <v>353623.50124000001</v>
      </c>
      <c r="J25">
        <v>338542.46155999997</v>
      </c>
      <c r="K25">
        <v>323474.40096</v>
      </c>
      <c r="L25">
        <v>308419.31943999988</v>
      </c>
      <c r="M25" s="3">
        <v>293377.217</v>
      </c>
      <c r="N25">
        <v>288326.16833952483</v>
      </c>
      <c r="O25">
        <v>283275.11967904959</v>
      </c>
      <c r="P25">
        <v>278224.07101857441</v>
      </c>
      <c r="Q25">
        <v>273173.02235809923</v>
      </c>
      <c r="R25">
        <v>268121.97369762405</v>
      </c>
      <c r="S25">
        <v>263070.92503714887</v>
      </c>
      <c r="T25">
        <v>258019.87637667367</v>
      </c>
      <c r="U25">
        <v>252968.82771619849</v>
      </c>
      <c r="V25">
        <v>247917.77905572328</v>
      </c>
      <c r="W25">
        <v>242866.73039524807</v>
      </c>
      <c r="X25">
        <v>242866.73039524807</v>
      </c>
      <c r="Y25">
        <v>242866.73039524807</v>
      </c>
      <c r="Z25">
        <v>242866.73039524807</v>
      </c>
      <c r="AA25">
        <v>242866.73039524807</v>
      </c>
      <c r="AB25">
        <v>242866.73039524807</v>
      </c>
      <c r="AC25">
        <v>0.93114143920595527</v>
      </c>
      <c r="AD25">
        <v>0.92468226120857688</v>
      </c>
      <c r="AE25">
        <v>0.91841646720919079</v>
      </c>
      <c r="AF25">
        <v>0.91233396048918136</v>
      </c>
      <c r="AG25">
        <v>0.90642533518261659</v>
      </c>
      <c r="AH25">
        <v>0.90068181818181814</v>
      </c>
      <c r="AI25">
        <v>0.87772495814329421</v>
      </c>
      <c r="AJ25">
        <v>0.85404917263232005</v>
      </c>
      <c r="AK25">
        <v>0.82961856469605677</v>
      </c>
      <c r="AL25">
        <v>0.8043948070856588</v>
      </c>
      <c r="AM25">
        <v>0.77833693304535645</v>
      </c>
      <c r="AN25">
        <v>0.77833693304535645</v>
      </c>
      <c r="AO25">
        <v>0.77833693304535645</v>
      </c>
      <c r="AP25">
        <v>0.77833693304535645</v>
      </c>
      <c r="AQ25">
        <v>0.77833693304535645</v>
      </c>
      <c r="AR25">
        <v>0.77833693304535645</v>
      </c>
      <c r="AS25">
        <v>0.77833693304535645</v>
      </c>
      <c r="AT25">
        <v>0.77833693304535645</v>
      </c>
      <c r="AU25">
        <v>0.77833693304535645</v>
      </c>
      <c r="AV25">
        <v>0.77833693304535645</v>
      </c>
      <c r="AW25">
        <v>0.77833693304535645</v>
      </c>
      <c r="AX25">
        <v>0.77833693304535645</v>
      </c>
      <c r="AY25">
        <v>0.77833693304535645</v>
      </c>
      <c r="AZ25">
        <v>0.77833693304535645</v>
      </c>
      <c r="BA25">
        <v>0.77833693304535645</v>
      </c>
      <c r="BB25">
        <v>0.77833693304535645</v>
      </c>
    </row>
    <row r="26" spans="2:54" x14ac:dyDescent="0.35">
      <c r="B26" t="s">
        <v>84</v>
      </c>
      <c r="C26" s="3">
        <v>0</v>
      </c>
      <c r="D26">
        <v>381.83616000000006</v>
      </c>
      <c r="E26">
        <v>777.44224000000008</v>
      </c>
      <c r="F26">
        <v>1186.8182400000003</v>
      </c>
      <c r="G26">
        <v>1609.9641600000004</v>
      </c>
      <c r="H26" s="3">
        <v>2046.8800000000003</v>
      </c>
      <c r="I26">
        <v>2417.3187600000001</v>
      </c>
      <c r="J26">
        <v>2774.77844</v>
      </c>
      <c r="K26">
        <v>3119.2590399999995</v>
      </c>
      <c r="L26">
        <v>3450.7605599999997</v>
      </c>
      <c r="M26" s="3">
        <v>3769.2830000000008</v>
      </c>
      <c r="N26">
        <v>3704.3876</v>
      </c>
      <c r="O26">
        <v>3639.4921999999997</v>
      </c>
      <c r="P26">
        <v>3574.5967999999993</v>
      </c>
      <c r="Q26">
        <v>3509.701399999999</v>
      </c>
      <c r="R26">
        <v>3444.8059999999987</v>
      </c>
      <c r="S26">
        <v>3379.9105999999983</v>
      </c>
      <c r="T26">
        <v>3315.015199999998</v>
      </c>
      <c r="U26">
        <v>3250.1197999999977</v>
      </c>
      <c r="V26">
        <v>3185.2243999999973</v>
      </c>
      <c r="W26">
        <v>3120.3289999999965</v>
      </c>
      <c r="X26">
        <v>3120.3289999999965</v>
      </c>
      <c r="Y26">
        <v>3120.3289999999965</v>
      </c>
      <c r="Z26">
        <v>3120.3289999999965</v>
      </c>
      <c r="AA26">
        <v>3120.3289999999965</v>
      </c>
      <c r="AB26">
        <v>3120.3289999999965</v>
      </c>
      <c r="AC26">
        <v>0</v>
      </c>
      <c r="AD26">
        <v>1E-3</v>
      </c>
      <c r="AE26">
        <v>2E-3</v>
      </c>
      <c r="AF26">
        <v>3.0000000000000001E-3</v>
      </c>
      <c r="AG26">
        <v>4.0000000000000001E-3</v>
      </c>
      <c r="AH26">
        <v>5.0000000000000001E-3</v>
      </c>
      <c r="AI26">
        <v>6.0000000000000001E-3</v>
      </c>
      <c r="AJ26">
        <v>7.0000000000000001E-3</v>
      </c>
      <c r="AK26">
        <v>8.0000000000000002E-3</v>
      </c>
      <c r="AL26">
        <v>9.0000000000000011E-3</v>
      </c>
      <c r="AM26">
        <v>1.0000000000000002E-2</v>
      </c>
      <c r="AN26">
        <v>1.0000000000000002E-2</v>
      </c>
      <c r="AO26">
        <v>1.0000000000000002E-2</v>
      </c>
      <c r="AP26">
        <v>1.0000000000000002E-2</v>
      </c>
      <c r="AQ26">
        <v>1.0000000000000002E-2</v>
      </c>
      <c r="AR26">
        <v>1.0000000000000002E-2</v>
      </c>
      <c r="AS26">
        <v>1.0000000000000002E-2</v>
      </c>
      <c r="AT26">
        <v>1.0000000000000002E-2</v>
      </c>
      <c r="AU26">
        <v>1.0000000000000002E-2</v>
      </c>
      <c r="AV26">
        <v>1.0000000000000002E-2</v>
      </c>
      <c r="AW26">
        <v>1.0000000000000002E-2</v>
      </c>
      <c r="AX26">
        <v>1.0000000000000002E-2</v>
      </c>
      <c r="AY26">
        <v>1.0000000000000002E-2</v>
      </c>
      <c r="AZ26">
        <v>1.0000000000000002E-2</v>
      </c>
      <c r="BA26">
        <v>1.0000000000000002E-2</v>
      </c>
      <c r="BB26">
        <v>1.0000000000000002E-2</v>
      </c>
    </row>
    <row r="27" spans="2:54" x14ac:dyDescent="0.35">
      <c r="C27" s="35"/>
    </row>
    <row r="28" spans="2:54" x14ac:dyDescent="0.35">
      <c r="B28" s="3" t="s">
        <v>31</v>
      </c>
      <c r="C28" s="3">
        <v>172063.524</v>
      </c>
      <c r="D28">
        <v>169045.77160000001</v>
      </c>
      <c r="E28">
        <v>166028.01920000001</v>
      </c>
      <c r="F28">
        <v>163010.26680000001</v>
      </c>
      <c r="G28">
        <v>159992.51440000001</v>
      </c>
      <c r="H28" s="3">
        <v>156974.76200000002</v>
      </c>
      <c r="I28">
        <v>153957.00960000002</v>
      </c>
      <c r="J28">
        <v>150939.25720000002</v>
      </c>
      <c r="K28">
        <v>147921.50480000002</v>
      </c>
      <c r="L28">
        <v>144903.75240000003</v>
      </c>
      <c r="M28" s="3">
        <v>141886</v>
      </c>
      <c r="N28">
        <v>139585.58599999998</v>
      </c>
      <c r="O28">
        <v>137285.17199999996</v>
      </c>
      <c r="P28">
        <v>134984.75799999994</v>
      </c>
      <c r="Q28">
        <v>132684.34399999992</v>
      </c>
      <c r="R28">
        <v>130383.92999999991</v>
      </c>
      <c r="S28">
        <v>128083.51599999989</v>
      </c>
      <c r="T28">
        <v>125783.10199999987</v>
      </c>
      <c r="U28">
        <v>123482.68799999985</v>
      </c>
      <c r="V28">
        <v>121182.27399999983</v>
      </c>
      <c r="W28">
        <v>118881.85999999981</v>
      </c>
      <c r="X28">
        <v>118881.85999999981</v>
      </c>
      <c r="Y28">
        <v>118881.85999999981</v>
      </c>
      <c r="Z28">
        <v>118881.85999999981</v>
      </c>
      <c r="AA28">
        <v>118881.85999999981</v>
      </c>
      <c r="AB28">
        <v>118881.85999999981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0.99999999999999978</v>
      </c>
      <c r="AI28">
        <v>0.99999999999999967</v>
      </c>
      <c r="AJ28">
        <v>0.99999999999999978</v>
      </c>
      <c r="AK28">
        <v>0.99999999999999967</v>
      </c>
      <c r="AL28">
        <v>0.99999999999999967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</row>
    <row r="29" spans="2:54" x14ac:dyDescent="0.35">
      <c r="B29" t="s">
        <v>11</v>
      </c>
      <c r="C29" s="3">
        <v>81062.770083805226</v>
      </c>
      <c r="D29">
        <v>80190.843926343689</v>
      </c>
      <c r="E29">
        <v>79318.917768882151</v>
      </c>
      <c r="F29">
        <v>78446.991611420613</v>
      </c>
      <c r="G29">
        <v>77575.065453959076</v>
      </c>
      <c r="H29" s="3">
        <v>76703.139296497538</v>
      </c>
      <c r="I29">
        <v>75831.213139036001</v>
      </c>
      <c r="J29">
        <v>74959.286981574463</v>
      </c>
      <c r="K29">
        <v>74087.360824112926</v>
      </c>
      <c r="L29">
        <v>73215.434666651388</v>
      </c>
      <c r="M29" s="3">
        <v>72343.508509189924</v>
      </c>
      <c r="N29">
        <f>N$28*Tabella3346[[#This Row],[2031%]]</f>
        <v>71170.594904016325</v>
      </c>
      <c r="O29">
        <f>O$28*Tabella3346[[#This Row],[2032%]]</f>
        <v>69997.681298842741</v>
      </c>
      <c r="P29">
        <f>P$28*Tabella3346[[#This Row],[2033%]]</f>
        <v>68824.767693669142</v>
      </c>
      <c r="Q29">
        <f>Q$28*Tabella3346[[#This Row],[2034%]]</f>
        <v>67651.854088495544</v>
      </c>
      <c r="R29">
        <f>R$28*Tabella3346[[#This Row],[2035%]]</f>
        <v>66478.940483321945</v>
      </c>
      <c r="S29">
        <f>S$28*Tabella3346[[#This Row],[2036%]]</f>
        <v>65306.026878148346</v>
      </c>
      <c r="T29">
        <f>T$28*Tabella3346[[#This Row],[2037%]]</f>
        <v>64133.113272974748</v>
      </c>
      <c r="U29">
        <f>U$28*Tabella3346[[#This Row],[2038%]]</f>
        <v>62960.199667801149</v>
      </c>
      <c r="V29">
        <f>V$28*Tabella3346[[#This Row],[2039%]]</f>
        <v>61787.286062627551</v>
      </c>
      <c r="W29">
        <f>W$28*Tabella3346[[#This Row],[2040%]]</f>
        <v>60614.372457453959</v>
      </c>
      <c r="X29">
        <f>X$28*Tabella3346[[#This Row],[2041%]]</f>
        <v>60614.372457453959</v>
      </c>
      <c r="Y29">
        <f>Y$28*Tabella3346[[#This Row],[2042%]]</f>
        <v>60614.372457453959</v>
      </c>
      <c r="Z29">
        <f>Z$28*Tabella3346[[#This Row],[2043%]]</f>
        <v>60614.372457453959</v>
      </c>
      <c r="AA29">
        <f>AA$28*Tabella3346[[#This Row],[2044%]]</f>
        <v>60614.372457453959</v>
      </c>
      <c r="AB29">
        <f>AB$28*Tabella3346[[#This Row],[2045%]]</f>
        <v>60614.372457453959</v>
      </c>
      <c r="AC29">
        <v>0.4711211778029446</v>
      </c>
      <c r="AD29">
        <v>0.47437355674351389</v>
      </c>
      <c r="AE29">
        <v>0.47774416722597474</v>
      </c>
      <c r="AF29">
        <v>0.48123957558862551</v>
      </c>
      <c r="AG29">
        <v>0.48486684358252119</v>
      </c>
      <c r="AH29">
        <v>0.48863357599164592</v>
      </c>
      <c r="AI29">
        <v>0.49254797385357885</v>
      </c>
      <c r="AJ29">
        <v>0.49661889406445581</v>
      </c>
      <c r="AK29">
        <v>0.5008559162799493</v>
      </c>
      <c r="AL29">
        <v>0.50526941817589099</v>
      </c>
      <c r="AM29">
        <v>0.50987066031313821</v>
      </c>
      <c r="AN29">
        <v>0.50987066031313821</v>
      </c>
      <c r="AO29">
        <v>0.50987066031313821</v>
      </c>
      <c r="AP29">
        <v>0.50987066031313821</v>
      </c>
      <c r="AQ29">
        <v>0.50987066031313821</v>
      </c>
      <c r="AR29">
        <v>0.50987066031313821</v>
      </c>
      <c r="AS29">
        <v>0.50987066031313821</v>
      </c>
      <c r="AT29">
        <v>0.50987066031313821</v>
      </c>
      <c r="AU29">
        <v>0.50987066031313821</v>
      </c>
      <c r="AV29">
        <v>0.50987066031313821</v>
      </c>
      <c r="AW29">
        <v>0.50987066031313821</v>
      </c>
      <c r="AX29">
        <v>0.50987066031313821</v>
      </c>
      <c r="AY29">
        <v>0.50987066031313821</v>
      </c>
      <c r="AZ29">
        <v>0.50987066031313821</v>
      </c>
      <c r="BA29">
        <v>0.50987066031313821</v>
      </c>
      <c r="BB29">
        <v>0.50987066031313821</v>
      </c>
    </row>
    <row r="30" spans="2:54" x14ac:dyDescent="0.35">
      <c r="B30" t="s">
        <v>12</v>
      </c>
      <c r="C30" s="3">
        <v>5358.7167723669381</v>
      </c>
      <c r="D30">
        <v>5170.5575525842942</v>
      </c>
      <c r="E30">
        <v>4982.3983328016502</v>
      </c>
      <c r="F30">
        <v>4794.2391130190063</v>
      </c>
      <c r="G30">
        <v>4606.0798932363623</v>
      </c>
      <c r="H30" s="3">
        <v>4417.9206734537183</v>
      </c>
      <c r="I30">
        <v>4229.7614536710744</v>
      </c>
      <c r="J30">
        <v>4041.6022338884304</v>
      </c>
      <c r="K30">
        <v>3853.4430141057865</v>
      </c>
      <c r="L30">
        <v>3665.2837943231425</v>
      </c>
      <c r="M30" s="3">
        <v>3477.1245745404985</v>
      </c>
      <c r="N30">
        <f>N$28*Tabella3346[[#This Row],[2031%]]</f>
        <v>3420.7495547991775</v>
      </c>
      <c r="O30">
        <f>O$28*Tabella3346[[#This Row],[2032%]]</f>
        <v>3364.3745350578565</v>
      </c>
      <c r="P30">
        <f>P$28*Tabella3346[[#This Row],[2033%]]</f>
        <v>3307.9995153165355</v>
      </c>
      <c r="Q30">
        <f>Q$28*Tabella3346[[#This Row],[2034%]]</f>
        <v>3251.6244955752145</v>
      </c>
      <c r="R30">
        <f>R$28*Tabella3346[[#This Row],[2035%]]</f>
        <v>3195.2494758338935</v>
      </c>
      <c r="S30">
        <f>S$28*Tabella3346[[#This Row],[2036%]]</f>
        <v>3138.8744560925725</v>
      </c>
      <c r="T30">
        <f>T$28*Tabella3346[[#This Row],[2037%]]</f>
        <v>3082.4994363512515</v>
      </c>
      <c r="U30">
        <f>U$28*Tabella3346[[#This Row],[2038%]]</f>
        <v>3026.1244166099304</v>
      </c>
      <c r="V30">
        <f>V$28*Tabella3346[[#This Row],[2039%]]</f>
        <v>2969.7493968686094</v>
      </c>
      <c r="W30">
        <f>W$28*Tabella3346[[#This Row],[2040%]]</f>
        <v>2913.3743771272884</v>
      </c>
      <c r="X30">
        <f>X$28*Tabella3346[[#This Row],[2041%]]</f>
        <v>2913.3743771272884</v>
      </c>
      <c r="Y30">
        <f>Y$28*Tabella3346[[#This Row],[2042%]]</f>
        <v>2913.3743771272884</v>
      </c>
      <c r="Z30">
        <f>Z$28*Tabella3346[[#This Row],[2043%]]</f>
        <v>2913.3743771272884</v>
      </c>
      <c r="AA30">
        <f>AA$28*Tabella3346[[#This Row],[2044%]]</f>
        <v>2913.3743771272884</v>
      </c>
      <c r="AB30">
        <f>AB$28*Tabella3346[[#This Row],[2045%]]</f>
        <v>2913.3743771272884</v>
      </c>
      <c r="AC30">
        <v>3.1143827859569689E-2</v>
      </c>
      <c r="AD30">
        <v>3.0586731058964235E-2</v>
      </c>
      <c r="AE30">
        <v>3.0009382493443912E-2</v>
      </c>
      <c r="AF30">
        <v>2.9410657421358236E-2</v>
      </c>
      <c r="AG30">
        <v>2.8789346242291208E-2</v>
      </c>
      <c r="AH30">
        <v>2.8144146340248744E-2</v>
      </c>
      <c r="AI30">
        <v>2.7473652967542918E-2</v>
      </c>
      <c r="AJ30">
        <v>2.6776349035116557E-2</v>
      </c>
      <c r="AK30">
        <v>2.6050593653139918E-2</v>
      </c>
      <c r="AL30">
        <v>2.5294609239692414E-2</v>
      </c>
      <c r="AM30">
        <v>2.4506466984343053E-2</v>
      </c>
      <c r="AN30">
        <v>2.4506466984343053E-2</v>
      </c>
      <c r="AO30">
        <v>2.4506466984343053E-2</v>
      </c>
      <c r="AP30">
        <v>2.4506466984343053E-2</v>
      </c>
      <c r="AQ30">
        <v>2.4506466984343053E-2</v>
      </c>
      <c r="AR30">
        <v>2.4506466984343053E-2</v>
      </c>
      <c r="AS30">
        <v>2.4506466984343053E-2</v>
      </c>
      <c r="AT30">
        <v>2.4506466984343053E-2</v>
      </c>
      <c r="AU30">
        <v>2.4506466984343053E-2</v>
      </c>
      <c r="AV30">
        <v>2.4506466984343053E-2</v>
      </c>
      <c r="AW30">
        <v>2.4506466984343053E-2</v>
      </c>
      <c r="AX30">
        <v>2.4506466984343053E-2</v>
      </c>
      <c r="AY30">
        <v>2.4506466984343053E-2</v>
      </c>
      <c r="AZ30">
        <v>2.4506466984343053E-2</v>
      </c>
      <c r="BA30">
        <v>2.4506466984343053E-2</v>
      </c>
      <c r="BB30">
        <v>2.4506466984343053E-2</v>
      </c>
    </row>
    <row r="31" spans="2:54" x14ac:dyDescent="0.35">
      <c r="B31" t="s">
        <v>10</v>
      </c>
      <c r="C31" s="3">
        <v>21824.59194563987</v>
      </c>
      <c r="D31">
        <v>21390.35371771986</v>
      </c>
      <c r="E31">
        <v>20956.115489799849</v>
      </c>
      <c r="F31">
        <v>20521.877261879839</v>
      </c>
      <c r="G31">
        <v>20087.639033959829</v>
      </c>
      <c r="H31" s="3">
        <v>19653.400806039819</v>
      </c>
      <c r="I31">
        <v>19219.162578119809</v>
      </c>
      <c r="J31">
        <v>18784.924350199799</v>
      </c>
      <c r="K31">
        <v>18350.686122279789</v>
      </c>
      <c r="L31">
        <v>17916.447894359779</v>
      </c>
      <c r="M31" s="3">
        <v>17482.209666439754</v>
      </c>
      <c r="N31">
        <f>N$28*Tabella3346[[#This Row],[2031%]]</f>
        <v>17198.768594962556</v>
      </c>
      <c r="O31">
        <f>O$28*Tabella3346[[#This Row],[2032%]]</f>
        <v>16915.327523485357</v>
      </c>
      <c r="P31">
        <f>P$28*Tabella3346[[#This Row],[2033%]]</f>
        <v>16631.886452008162</v>
      </c>
      <c r="Q31">
        <f>Q$28*Tabella3346[[#This Row],[2034%]]</f>
        <v>16348.445380530964</v>
      </c>
      <c r="R31">
        <f>R$28*Tabella3346[[#This Row],[2035%]]</f>
        <v>16065.004309053766</v>
      </c>
      <c r="S31">
        <f>S$28*Tabella3346[[#This Row],[2036%]]</f>
        <v>15781.563237576569</v>
      </c>
      <c r="T31">
        <f>T$28*Tabella3346[[#This Row],[2037%]]</f>
        <v>15498.122166099371</v>
      </c>
      <c r="U31">
        <f>U$28*Tabella3346[[#This Row],[2038%]]</f>
        <v>15214.681094622172</v>
      </c>
      <c r="V31">
        <f>V$28*Tabella3346[[#This Row],[2039%]]</f>
        <v>14931.240023144976</v>
      </c>
      <c r="W31">
        <f>W$28*Tabella3346[[#This Row],[2040%]]</f>
        <v>14647.798951667777</v>
      </c>
      <c r="X31">
        <f>X$28*Tabella3346[[#This Row],[2041%]]</f>
        <v>14647.798951667777</v>
      </c>
      <c r="Y31">
        <f>Y$28*Tabella3346[[#This Row],[2042%]]</f>
        <v>14647.798951667777</v>
      </c>
      <c r="Z31">
        <f>Z$28*Tabella3346[[#This Row],[2043%]]</f>
        <v>14647.798951667777</v>
      </c>
      <c r="AA31">
        <f>AA$28*Tabella3346[[#This Row],[2044%]]</f>
        <v>14647.798951667777</v>
      </c>
      <c r="AB31">
        <f>AB$28*Tabella3346[[#This Row],[2045%]]</f>
        <v>14647.798951667777</v>
      </c>
      <c r="AC31">
        <v>0.12684031710079277</v>
      </c>
      <c r="AD31">
        <v>0.12653586963614924</v>
      </c>
      <c r="AE31">
        <v>0.12622035479779939</v>
      </c>
      <c r="AF31">
        <v>0.12589315792641742</v>
      </c>
      <c r="AG31">
        <v>0.1255536179882665</v>
      </c>
      <c r="AH31">
        <v>0.12520102311758763</v>
      </c>
      <c r="AI31">
        <v>0.12483460563473953</v>
      </c>
      <c r="AJ31">
        <v>0.12445353646671978</v>
      </c>
      <c r="AK31">
        <v>0.12405691888472314</v>
      </c>
      <c r="AL31">
        <v>0.12364378145917342</v>
      </c>
      <c r="AM31">
        <v>0.12321307011572498</v>
      </c>
      <c r="AN31">
        <v>0.12321307011572498</v>
      </c>
      <c r="AO31">
        <v>0.12321307011572498</v>
      </c>
      <c r="AP31">
        <v>0.12321307011572498</v>
      </c>
      <c r="AQ31">
        <v>0.12321307011572498</v>
      </c>
      <c r="AR31">
        <v>0.12321307011572498</v>
      </c>
      <c r="AS31">
        <v>0.12321307011572498</v>
      </c>
      <c r="AT31">
        <v>0.12321307011572498</v>
      </c>
      <c r="AU31">
        <v>0.12321307011572498</v>
      </c>
      <c r="AV31">
        <v>0.12321307011572498</v>
      </c>
      <c r="AW31">
        <v>0.12321307011572498</v>
      </c>
      <c r="AX31">
        <v>0.12321307011572498</v>
      </c>
      <c r="AY31">
        <v>0.12321307011572498</v>
      </c>
      <c r="AZ31">
        <v>0.12321307011572498</v>
      </c>
      <c r="BA31">
        <v>0.12321307011572498</v>
      </c>
      <c r="BB31">
        <v>0.12321307011572498</v>
      </c>
    </row>
    <row r="32" spans="2:54" x14ac:dyDescent="0.35">
      <c r="B32" t="s">
        <v>9</v>
      </c>
      <c r="C32" s="3">
        <v>60991.93999093998</v>
      </c>
      <c r="D32">
        <v>58282.942452022973</v>
      </c>
      <c r="E32">
        <v>55573.944913105966</v>
      </c>
      <c r="F32">
        <v>52864.94737418896</v>
      </c>
      <c r="G32">
        <v>50155.949835271953</v>
      </c>
      <c r="H32" s="3">
        <v>47446.952296354946</v>
      </c>
      <c r="I32">
        <v>44737.954757437939</v>
      </c>
      <c r="J32">
        <v>42028.957218520933</v>
      </c>
      <c r="K32">
        <v>39319.959679603926</v>
      </c>
      <c r="L32">
        <v>36610.962140686919</v>
      </c>
      <c r="M32" s="3">
        <v>33901.964601769912</v>
      </c>
      <c r="N32">
        <f>N$28*Tabella3346[[#This Row],[2031%]]</f>
        <v>33352.308159292035</v>
      </c>
      <c r="O32">
        <f>O$28*Tabella3346[[#This Row],[2032%]]</f>
        <v>32802.651716814151</v>
      </c>
      <c r="P32">
        <f>P$28*Tabella3346[[#This Row],[2033%]]</f>
        <v>32252.99527433627</v>
      </c>
      <c r="Q32">
        <f>Q$28*Tabella3346[[#This Row],[2034%]]</f>
        <v>31703.338831858389</v>
      </c>
      <c r="R32">
        <f>R$28*Tabella3346[[#This Row],[2035%]]</f>
        <v>31153.682389380509</v>
      </c>
      <c r="S32">
        <f>S$28*Tabella3346[[#This Row],[2036%]]</f>
        <v>30604.025946902628</v>
      </c>
      <c r="T32">
        <f>T$28*Tabella3346[[#This Row],[2037%]]</f>
        <v>30054.369504424747</v>
      </c>
      <c r="U32">
        <f>U$28*Tabella3346[[#This Row],[2038%]]</f>
        <v>29504.713061946866</v>
      </c>
      <c r="V32">
        <f>V$28*Tabella3346[[#This Row],[2039%]]</f>
        <v>28955.056619468989</v>
      </c>
      <c r="W32">
        <f>W$28*Tabella3346[[#This Row],[2040%]]</f>
        <v>28405.400176991108</v>
      </c>
      <c r="X32">
        <f>X$28*Tabella3346[[#This Row],[2041%]]</f>
        <v>28405.400176991108</v>
      </c>
      <c r="Y32">
        <f>Y$28*Tabella3346[[#This Row],[2042%]]</f>
        <v>28405.400176991108</v>
      </c>
      <c r="Z32">
        <f>Z$28*Tabella3346[[#This Row],[2043%]]</f>
        <v>28405.400176991108</v>
      </c>
      <c r="AA32">
        <f>AA$28*Tabella3346[[#This Row],[2044%]]</f>
        <v>28405.400176991108</v>
      </c>
      <c r="AB32">
        <f>AB$28*Tabella3346[[#This Row],[2045%]]</f>
        <v>28405.400176991108</v>
      </c>
      <c r="AC32">
        <v>0.35447338618346547</v>
      </c>
      <c r="AD32">
        <v>0.3447761035391847</v>
      </c>
      <c r="AE32">
        <v>0.33472630210784304</v>
      </c>
      <c r="AF32">
        <v>0.32430440371617719</v>
      </c>
      <c r="AG32">
        <v>0.31348935306983305</v>
      </c>
      <c r="AH32">
        <v>0.30225847576921278</v>
      </c>
      <c r="AI32">
        <v>0.29058731962690665</v>
      </c>
      <c r="AJ32">
        <v>0.27844947694973105</v>
      </c>
      <c r="AK32">
        <v>0.26581638506697991</v>
      </c>
      <c r="AL32">
        <v>0.25265710193359292</v>
      </c>
      <c r="AM32">
        <v>0.23893805309734514</v>
      </c>
      <c r="AN32">
        <v>0.23893805309734514</v>
      </c>
      <c r="AO32">
        <v>0.23893805309734514</v>
      </c>
      <c r="AP32">
        <v>0.23893805309734514</v>
      </c>
      <c r="AQ32">
        <v>0.23893805309734514</v>
      </c>
      <c r="AR32">
        <v>0.23893805309734514</v>
      </c>
      <c r="AS32">
        <v>0.23893805309734514</v>
      </c>
      <c r="AT32">
        <v>0.23893805309734514</v>
      </c>
      <c r="AU32">
        <v>0.23893805309734514</v>
      </c>
      <c r="AV32">
        <v>0.23893805309734514</v>
      </c>
      <c r="AW32">
        <v>0.23893805309734514</v>
      </c>
      <c r="AX32">
        <v>0.23893805309734514</v>
      </c>
      <c r="AY32">
        <v>0.23893805309734514</v>
      </c>
      <c r="AZ32">
        <v>0.23893805309734514</v>
      </c>
      <c r="BA32">
        <v>0.23893805309734514</v>
      </c>
      <c r="BB32">
        <v>0.23893805309734514</v>
      </c>
    </row>
    <row r="33" spans="2:54" x14ac:dyDescent="0.35">
      <c r="B33" t="s">
        <v>13</v>
      </c>
      <c r="C33" s="3">
        <v>2825.5052072480098</v>
      </c>
      <c r="D33">
        <v>4011.0739513291992</v>
      </c>
      <c r="E33">
        <v>5196.6426954103881</v>
      </c>
      <c r="F33">
        <v>6382.211439491577</v>
      </c>
      <c r="G33">
        <v>7567.780183572766</v>
      </c>
      <c r="H33" s="3">
        <v>8753.3489276539549</v>
      </c>
      <c r="I33">
        <v>9938.9176717351438</v>
      </c>
      <c r="J33">
        <v>11124.486415816333</v>
      </c>
      <c r="K33">
        <v>12310.055159897522</v>
      </c>
      <c r="L33">
        <v>13495.623903978711</v>
      </c>
      <c r="M33" s="3">
        <v>14681.192648059901</v>
      </c>
      <c r="N33">
        <f>N$28*Tabella3346[[#This Row],[2031%]]</f>
        <v>14443.164786929879</v>
      </c>
      <c r="O33">
        <f>O$28*Tabella3346[[#This Row],[2032%]]</f>
        <v>14205.136925799856</v>
      </c>
      <c r="P33">
        <f>P$28*Tabella3346[[#This Row],[2033%]]</f>
        <v>13967.109064669834</v>
      </c>
      <c r="Q33">
        <f>Q$28*Tabella3346[[#This Row],[2034%]]</f>
        <v>13729.081203539812</v>
      </c>
      <c r="R33">
        <f>R$28*Tabella3346[[#This Row],[2035%]]</f>
        <v>13491.05334240979</v>
      </c>
      <c r="S33">
        <f>S$28*Tabella3346[[#This Row],[2036%]]</f>
        <v>13253.025481279767</v>
      </c>
      <c r="T33">
        <f>T$28*Tabella3346[[#This Row],[2037%]]</f>
        <v>13014.997620149745</v>
      </c>
      <c r="U33">
        <f>U$28*Tabella3346[[#This Row],[2038%]]</f>
        <v>12776.969759019723</v>
      </c>
      <c r="V33">
        <f>V$28*Tabella3346[[#This Row],[2039%]]</f>
        <v>12538.941897889701</v>
      </c>
      <c r="W33">
        <f>W$28*Tabella3346[[#This Row],[2040%]]</f>
        <v>12300.914036759677</v>
      </c>
      <c r="X33">
        <f>X$28*Tabella3346[[#This Row],[2041%]]</f>
        <v>12300.914036759677</v>
      </c>
      <c r="Y33">
        <f>Y$28*Tabella3346[[#This Row],[2042%]]</f>
        <v>12300.914036759677</v>
      </c>
      <c r="Z33">
        <f>Z$28*Tabella3346[[#This Row],[2043%]]</f>
        <v>12300.914036759677</v>
      </c>
      <c r="AA33">
        <f>AA$28*Tabella3346[[#This Row],[2044%]]</f>
        <v>12300.914036759677</v>
      </c>
      <c r="AB33">
        <f>AB$28*Tabella3346[[#This Row],[2045%]]</f>
        <v>12300.914036759677</v>
      </c>
      <c r="AC33">
        <v>1.6421291053227583E-2</v>
      </c>
      <c r="AD33">
        <v>2.3727739022187996E-2</v>
      </c>
      <c r="AE33">
        <v>3.1299793374938899E-2</v>
      </c>
      <c r="AF33">
        <v>3.9152205347421566E-2</v>
      </c>
      <c r="AG33">
        <v>4.7300839117087878E-2</v>
      </c>
      <c r="AH33">
        <v>5.5762778781304694E-2</v>
      </c>
      <c r="AI33">
        <v>6.455644791723171E-2</v>
      </c>
      <c r="AJ33">
        <v>7.3701743483976359E-2</v>
      </c>
      <c r="AK33">
        <v>8.3220186115207234E-2</v>
      </c>
      <c r="AL33">
        <v>9.3135089191649589E-2</v>
      </c>
      <c r="AM33">
        <v>0.10347174948944858</v>
      </c>
      <c r="AN33">
        <v>0.10347174948944858</v>
      </c>
      <c r="AO33">
        <v>0.10347174948944858</v>
      </c>
      <c r="AP33">
        <v>0.10347174948944858</v>
      </c>
      <c r="AQ33">
        <v>0.10347174948944858</v>
      </c>
      <c r="AR33">
        <v>0.10347174948944858</v>
      </c>
      <c r="AS33">
        <v>0.10347174948944858</v>
      </c>
      <c r="AT33">
        <v>0.10347174948944858</v>
      </c>
      <c r="AU33">
        <v>0.10347174948944858</v>
      </c>
      <c r="AV33">
        <v>0.10347174948944858</v>
      </c>
      <c r="AW33">
        <v>0.10347174948944858</v>
      </c>
      <c r="AX33">
        <v>0.10347174948944858</v>
      </c>
      <c r="AY33">
        <v>0.10347174948944858</v>
      </c>
      <c r="AZ33">
        <v>0.10347174948944858</v>
      </c>
      <c r="BA33">
        <v>0.10347174948944858</v>
      </c>
      <c r="BB33">
        <v>0.10347174948944858</v>
      </c>
    </row>
    <row r="35" spans="2:54" x14ac:dyDescent="0.35">
      <c r="B35" s="3" t="s">
        <v>53</v>
      </c>
      <c r="C35" s="3">
        <v>342052.6</v>
      </c>
      <c r="D35">
        <v>342052.6</v>
      </c>
      <c r="E35">
        <v>342052.59999999974</v>
      </c>
      <c r="F35">
        <v>342052.59999999974</v>
      </c>
      <c r="G35">
        <v>342052.59999999974</v>
      </c>
      <c r="H35" s="3">
        <v>342052.59999999974</v>
      </c>
      <c r="I35">
        <v>342052.59999999974</v>
      </c>
      <c r="J35">
        <v>342052.59999999974</v>
      </c>
      <c r="K35">
        <v>342052.59999999974</v>
      </c>
      <c r="L35">
        <v>342052.59999999974</v>
      </c>
      <c r="M35" s="3">
        <v>342052.59999999974</v>
      </c>
      <c r="N35">
        <v>342052.59999999974</v>
      </c>
      <c r="O35">
        <v>342052.59999999974</v>
      </c>
      <c r="P35">
        <v>342052.59999999974</v>
      </c>
      <c r="Q35">
        <v>342052.59999999974</v>
      </c>
      <c r="R35">
        <v>342052.59999999974</v>
      </c>
      <c r="S35">
        <v>342052.59999999974</v>
      </c>
      <c r="T35">
        <v>342052.59999999974</v>
      </c>
      <c r="U35">
        <v>342052.59999999974</v>
      </c>
      <c r="V35">
        <v>342052.59999999974</v>
      </c>
      <c r="W35">
        <v>342052.59999999974</v>
      </c>
      <c r="X35">
        <v>342052.59999999974</v>
      </c>
      <c r="Y35">
        <v>342052.59999999974</v>
      </c>
      <c r="Z35">
        <v>342052.59999999974</v>
      </c>
      <c r="AA35">
        <v>342052.59999999974</v>
      </c>
      <c r="AB35">
        <v>342052.59999999974</v>
      </c>
      <c r="AC35">
        <f>SUM(AC36:AC40)</f>
        <v>1</v>
      </c>
      <c r="AD35">
        <f t="shared" ref="AD35:BB35" si="0">SUM(AD36:AD40)</f>
        <v>1</v>
      </c>
      <c r="AE35">
        <f t="shared" si="0"/>
        <v>1</v>
      </c>
      <c r="AF35">
        <f t="shared" si="0"/>
        <v>1</v>
      </c>
      <c r="AG35">
        <f t="shared" si="0"/>
        <v>1</v>
      </c>
      <c r="AH35">
        <f t="shared" si="0"/>
        <v>1</v>
      </c>
      <c r="AI35">
        <f t="shared" si="0"/>
        <v>1</v>
      </c>
      <c r="AJ35">
        <f t="shared" si="0"/>
        <v>1</v>
      </c>
      <c r="AK35">
        <f t="shared" si="0"/>
        <v>1</v>
      </c>
      <c r="AL35">
        <f t="shared" si="0"/>
        <v>1</v>
      </c>
      <c r="AM35">
        <f t="shared" si="0"/>
        <v>1</v>
      </c>
      <c r="AN35">
        <f t="shared" si="0"/>
        <v>1</v>
      </c>
      <c r="AO35">
        <f t="shared" si="0"/>
        <v>1</v>
      </c>
      <c r="AP35">
        <f t="shared" si="0"/>
        <v>1</v>
      </c>
      <c r="AQ35">
        <f t="shared" si="0"/>
        <v>1</v>
      </c>
      <c r="AR35">
        <f t="shared" si="0"/>
        <v>1</v>
      </c>
      <c r="AS35">
        <f t="shared" si="0"/>
        <v>1</v>
      </c>
      <c r="AT35">
        <f t="shared" si="0"/>
        <v>1</v>
      </c>
      <c r="AU35">
        <f t="shared" si="0"/>
        <v>1</v>
      </c>
      <c r="AV35">
        <f t="shared" si="0"/>
        <v>1</v>
      </c>
      <c r="AW35">
        <f t="shared" si="0"/>
        <v>1</v>
      </c>
      <c r="AX35">
        <f t="shared" si="0"/>
        <v>1</v>
      </c>
      <c r="AY35">
        <f t="shared" si="0"/>
        <v>1</v>
      </c>
      <c r="AZ35">
        <f t="shared" si="0"/>
        <v>1</v>
      </c>
      <c r="BA35">
        <f t="shared" si="0"/>
        <v>1</v>
      </c>
      <c r="BB35">
        <f t="shared" si="0"/>
        <v>1</v>
      </c>
    </row>
    <row r="36" spans="2:54" x14ac:dyDescent="0.35">
      <c r="B36" s="40" t="s">
        <v>11</v>
      </c>
      <c r="C36" s="3">
        <f>C$35*Tabella3346[[#This Row],[2020%]]</f>
        <v>5833.7017054984371</v>
      </c>
      <c r="D36">
        <f>D$35*Tabella3346[[#This Row],[2021%]]</f>
        <v>5833.7017054984371</v>
      </c>
      <c r="E36">
        <f>E$35*Tabella3346[[#This Row],[2022%]]</f>
        <v>5833.7017054984326</v>
      </c>
      <c r="F36">
        <f>F$35*Tabella3346[[#This Row],[2023%]]</f>
        <v>5833.7017054984326</v>
      </c>
      <c r="G36">
        <f>G$35*Tabella3346[[#This Row],[2024%]]</f>
        <v>5833.7017054984326</v>
      </c>
      <c r="H36" s="3">
        <f>H$35*Tabella3346[[#This Row],[2025%]]</f>
        <v>5833.7017054984326</v>
      </c>
      <c r="I36">
        <f>I$35*Tabella3346[[#This Row],[2026%]]</f>
        <v>5833.7017054984326</v>
      </c>
      <c r="J36">
        <f>J$35*Tabella3346[[#This Row],[2027%]]</f>
        <v>5833.7017054984326</v>
      </c>
      <c r="K36">
        <f>K$35*Tabella3346[[#This Row],[2028%]]</f>
        <v>5833.7017054984326</v>
      </c>
      <c r="L36">
        <f>L$35*Tabella3346[[#This Row],[2029%]]</f>
        <v>5833.7017054984326</v>
      </c>
      <c r="M36" s="3">
        <f>M$35*Tabella3346[[#This Row],[2030%]]</f>
        <v>5833.7017054984326</v>
      </c>
      <c r="N36">
        <f>N$35*Tabella3346[[#This Row],[2031%]]</f>
        <v>5833.7017054984326</v>
      </c>
      <c r="O36">
        <f>O$35*Tabella3346[[#This Row],[2032%]]</f>
        <v>5833.7017054984326</v>
      </c>
      <c r="P36">
        <f>P$35*Tabella3346[[#This Row],[2033%]]</f>
        <v>5833.7017054984326</v>
      </c>
      <c r="Q36">
        <f>Q$35*Tabella3346[[#This Row],[2034%]]</f>
        <v>5833.7017054984326</v>
      </c>
      <c r="R36">
        <f>R$35*Tabella3346[[#This Row],[2035%]]</f>
        <v>5833.7017054984326</v>
      </c>
      <c r="S36">
        <f>S$35*Tabella3346[[#This Row],[2036%]]</f>
        <v>5833.7017054984326</v>
      </c>
      <c r="T36">
        <f>T$35*Tabella3346[[#This Row],[2037%]]</f>
        <v>5833.7017054984326</v>
      </c>
      <c r="U36">
        <f>U$35*Tabella3346[[#This Row],[2038%]]</f>
        <v>5833.7017054984326</v>
      </c>
      <c r="V36">
        <f>V$35*Tabella3346[[#This Row],[2039%]]</f>
        <v>5833.7017054984326</v>
      </c>
      <c r="W36">
        <f>W$35*Tabella3346[[#This Row],[2040%]]</f>
        <v>5833.7017054984326</v>
      </c>
      <c r="X36">
        <f>X$35*Tabella3346[[#This Row],[2041%]]</f>
        <v>5833.7017054984326</v>
      </c>
      <c r="Y36">
        <f>Y$35*Tabella3346[[#This Row],[2042%]]</f>
        <v>5833.7017054984326</v>
      </c>
      <c r="Z36">
        <f>Z$35*Tabella3346[[#This Row],[2043%]]</f>
        <v>5833.7017054984326</v>
      </c>
      <c r="AA36">
        <f>AA$35*Tabella3346[[#This Row],[2044%]]</f>
        <v>5833.7017054984326</v>
      </c>
      <c r="AB36">
        <f>AB$35*Tabella3346[[#This Row],[2045%]]</f>
        <v>5833.7017054984326</v>
      </c>
      <c r="AC36">
        <v>1.70549842494939E-2</v>
      </c>
      <c r="AD36">
        <v>1.70549842494939E-2</v>
      </c>
      <c r="AE36">
        <v>1.70549842494939E-2</v>
      </c>
      <c r="AF36">
        <v>1.70549842494939E-2</v>
      </c>
      <c r="AG36">
        <v>1.70549842494939E-2</v>
      </c>
      <c r="AH36">
        <v>1.70549842494939E-2</v>
      </c>
      <c r="AI36">
        <v>1.70549842494939E-2</v>
      </c>
      <c r="AJ36">
        <v>1.70549842494939E-2</v>
      </c>
      <c r="AK36">
        <v>1.70549842494939E-2</v>
      </c>
      <c r="AL36">
        <v>1.70549842494939E-2</v>
      </c>
      <c r="AM36">
        <v>1.70549842494939E-2</v>
      </c>
      <c r="AN36">
        <v>1.70549842494939E-2</v>
      </c>
      <c r="AO36">
        <v>1.70549842494939E-2</v>
      </c>
      <c r="AP36">
        <v>1.70549842494939E-2</v>
      </c>
      <c r="AQ36">
        <v>1.70549842494939E-2</v>
      </c>
      <c r="AR36">
        <v>1.70549842494939E-2</v>
      </c>
      <c r="AS36">
        <v>1.70549842494939E-2</v>
      </c>
      <c r="AT36">
        <v>1.70549842494939E-2</v>
      </c>
      <c r="AU36">
        <v>1.70549842494939E-2</v>
      </c>
      <c r="AV36">
        <v>1.70549842494939E-2</v>
      </c>
      <c r="AW36">
        <v>1.70549842494939E-2</v>
      </c>
      <c r="AX36">
        <v>1.70549842494939E-2</v>
      </c>
      <c r="AY36">
        <v>1.70549842494939E-2</v>
      </c>
      <c r="AZ36">
        <v>1.70549842494939E-2</v>
      </c>
      <c r="BA36">
        <v>1.70549842494939E-2</v>
      </c>
      <c r="BB36">
        <v>1.70549842494939E-2</v>
      </c>
    </row>
    <row r="37" spans="2:54" x14ac:dyDescent="0.35">
      <c r="B37" s="40" t="s">
        <v>13</v>
      </c>
      <c r="C37" s="3">
        <f>C$35*Tabella3346[[#This Row],[2020%]]</f>
        <v>3336.5009754350572</v>
      </c>
      <c r="D37">
        <f>D$35*Tabella3346[[#This Row],[2021%]]</f>
        <v>3336.5009754350572</v>
      </c>
      <c r="E37">
        <f>E$35*Tabella3346[[#This Row],[2022%]]</f>
        <v>3336.5009754350549</v>
      </c>
      <c r="F37">
        <f>F$35*Tabella3346[[#This Row],[2023%]]</f>
        <v>3336.5009754350549</v>
      </c>
      <c r="G37">
        <f>G$35*Tabella3346[[#This Row],[2024%]]</f>
        <v>3336.5009754350549</v>
      </c>
      <c r="H37" s="3">
        <f>H$35*Tabella3346[[#This Row],[2025%]]</f>
        <v>3336.5009754350549</v>
      </c>
      <c r="I37">
        <f>I$35*Tabella3346[[#This Row],[2026%]]</f>
        <v>3336.5009754350549</v>
      </c>
      <c r="J37">
        <f>J$35*Tabella3346[[#This Row],[2027%]]</f>
        <v>3336.5009754350549</v>
      </c>
      <c r="K37">
        <f>K$35*Tabella3346[[#This Row],[2028%]]</f>
        <v>3336.5009754350549</v>
      </c>
      <c r="L37">
        <f>L$35*Tabella3346[[#This Row],[2029%]]</f>
        <v>3336.5009754350549</v>
      </c>
      <c r="M37" s="3">
        <f>M$35*Tabella3346[[#This Row],[2030%]]</f>
        <v>3336.5009754350549</v>
      </c>
      <c r="N37">
        <f>N$35*Tabella3346[[#This Row],[2031%]]</f>
        <v>3336.5009754350549</v>
      </c>
      <c r="O37">
        <f>O$35*Tabella3346[[#This Row],[2032%]]</f>
        <v>3336.5009754350549</v>
      </c>
      <c r="P37">
        <f>P$35*Tabella3346[[#This Row],[2033%]]</f>
        <v>3336.5009754350549</v>
      </c>
      <c r="Q37">
        <f>Q$35*Tabella3346[[#This Row],[2034%]]</f>
        <v>3336.5009754350549</v>
      </c>
      <c r="R37">
        <f>R$35*Tabella3346[[#This Row],[2035%]]</f>
        <v>3336.5009754350549</v>
      </c>
      <c r="S37">
        <f>S$35*Tabella3346[[#This Row],[2036%]]</f>
        <v>3336.5009754350549</v>
      </c>
      <c r="T37">
        <f>T$35*Tabella3346[[#This Row],[2037%]]</f>
        <v>3336.5009754350549</v>
      </c>
      <c r="U37">
        <f>U$35*Tabella3346[[#This Row],[2038%]]</f>
        <v>3336.5009754350549</v>
      </c>
      <c r="V37">
        <f>V$35*Tabella3346[[#This Row],[2039%]]</f>
        <v>3336.5009754350549</v>
      </c>
      <c r="W37">
        <f>W$35*Tabella3346[[#This Row],[2040%]]</f>
        <v>3336.5009754350549</v>
      </c>
      <c r="X37">
        <f>X$35*Tabella3346[[#This Row],[2041%]]</f>
        <v>3336.5009754350549</v>
      </c>
      <c r="Y37">
        <f>Y$35*Tabella3346[[#This Row],[2042%]]</f>
        <v>3336.5009754350549</v>
      </c>
      <c r="Z37">
        <f>Z$35*Tabella3346[[#This Row],[2043%]]</f>
        <v>3336.5009754350549</v>
      </c>
      <c r="AA37">
        <f>AA$35*Tabella3346[[#This Row],[2044%]]</f>
        <v>3336.5009754350549</v>
      </c>
      <c r="AB37">
        <f>AB$35*Tabella3346[[#This Row],[2045%]]</f>
        <v>3336.5009754350549</v>
      </c>
      <c r="AC37">
        <v>9.7543505748386578E-3</v>
      </c>
      <c r="AD37">
        <v>9.7543505748386578E-3</v>
      </c>
      <c r="AE37">
        <v>9.7543505748386578E-3</v>
      </c>
      <c r="AF37">
        <v>9.7543505748386578E-3</v>
      </c>
      <c r="AG37">
        <v>9.7543505748386578E-3</v>
      </c>
      <c r="AH37">
        <v>9.7543505748386578E-3</v>
      </c>
      <c r="AI37">
        <v>9.7543505748386578E-3</v>
      </c>
      <c r="AJ37">
        <v>9.7543505748386578E-3</v>
      </c>
      <c r="AK37">
        <v>9.7543505748386578E-3</v>
      </c>
      <c r="AL37">
        <v>9.7543505748386578E-3</v>
      </c>
      <c r="AM37">
        <v>9.7543505748386578E-3</v>
      </c>
      <c r="AN37">
        <v>9.7543505748386578E-3</v>
      </c>
      <c r="AO37">
        <v>9.7543505748386578E-3</v>
      </c>
      <c r="AP37">
        <v>9.7543505748386578E-3</v>
      </c>
      <c r="AQ37">
        <v>9.7543505748386578E-3</v>
      </c>
      <c r="AR37">
        <v>9.7543505748386578E-3</v>
      </c>
      <c r="AS37">
        <v>9.7543505748386578E-3</v>
      </c>
      <c r="AT37">
        <v>9.7543505748386578E-3</v>
      </c>
      <c r="AU37">
        <v>9.7543505748386578E-3</v>
      </c>
      <c r="AV37">
        <v>9.7543505748386578E-3</v>
      </c>
      <c r="AW37">
        <v>9.7543505748386578E-3</v>
      </c>
      <c r="AX37">
        <v>9.7543505748386578E-3</v>
      </c>
      <c r="AY37">
        <v>9.7543505748386578E-3</v>
      </c>
      <c r="AZ37">
        <v>9.7543505748386578E-3</v>
      </c>
      <c r="BA37">
        <v>9.7543505748386578E-3</v>
      </c>
      <c r="BB37">
        <v>9.7543505748386578E-3</v>
      </c>
    </row>
    <row r="38" spans="2:54" x14ac:dyDescent="0.35">
      <c r="B38" s="40" t="s">
        <v>10</v>
      </c>
      <c r="C38" s="3">
        <f>C$35*Tabella3346[[#This Row],[2020%]]</f>
        <v>327449.39573071379</v>
      </c>
      <c r="D38">
        <f>D$35*Tabella3346[[#This Row],[2021%]]</f>
        <v>327449.39573071379</v>
      </c>
      <c r="E38">
        <f>E$35*Tabella3346[[#This Row],[2022%]]</f>
        <v>327449.39573071356</v>
      </c>
      <c r="F38">
        <f>F$35*Tabella3346[[#This Row],[2023%]]</f>
        <v>327449.39573071356</v>
      </c>
      <c r="G38">
        <f>G$35*Tabella3346[[#This Row],[2024%]]</f>
        <v>327449.39573071356</v>
      </c>
      <c r="H38" s="3">
        <f>H$35*Tabella3346[[#This Row],[2025%]]</f>
        <v>327449.39573071356</v>
      </c>
      <c r="I38">
        <f>I$35*Tabella3346[[#This Row],[2026%]]</f>
        <v>327449.39573071356</v>
      </c>
      <c r="J38">
        <f>J$35*Tabella3346[[#This Row],[2027%]]</f>
        <v>327449.39573071356</v>
      </c>
      <c r="K38">
        <f>K$35*Tabella3346[[#This Row],[2028%]]</f>
        <v>327449.39573071356</v>
      </c>
      <c r="L38">
        <f>L$35*Tabella3346[[#This Row],[2029%]]</f>
        <v>327449.39573071356</v>
      </c>
      <c r="M38" s="3">
        <f>M$35*Tabella3346[[#This Row],[2030%]]</f>
        <v>327449.39573071356</v>
      </c>
      <c r="N38">
        <f>N$35*Tabella3346[[#This Row],[2031%]]</f>
        <v>327449.39573071356</v>
      </c>
      <c r="O38">
        <f>O$35*Tabella3346[[#This Row],[2032%]]</f>
        <v>327449.39573071356</v>
      </c>
      <c r="P38">
        <f>P$35*Tabella3346[[#This Row],[2033%]]</f>
        <v>327449.39573071356</v>
      </c>
      <c r="Q38">
        <f>Q$35*Tabella3346[[#This Row],[2034%]]</f>
        <v>327449.39573071356</v>
      </c>
      <c r="R38">
        <f>R$35*Tabella3346[[#This Row],[2035%]]</f>
        <v>327449.39573071356</v>
      </c>
      <c r="S38">
        <f>S$35*Tabella3346[[#This Row],[2036%]]</f>
        <v>327449.39573071356</v>
      </c>
      <c r="T38">
        <f>T$35*Tabella3346[[#This Row],[2037%]]</f>
        <v>327449.39573071356</v>
      </c>
      <c r="U38">
        <f>U$35*Tabella3346[[#This Row],[2038%]]</f>
        <v>327449.39573071356</v>
      </c>
      <c r="V38">
        <f>V$35*Tabella3346[[#This Row],[2039%]]</f>
        <v>327449.39573071356</v>
      </c>
      <c r="W38">
        <f>W$35*Tabella3346[[#This Row],[2040%]]</f>
        <v>327449.39573071356</v>
      </c>
      <c r="X38">
        <f>X$35*Tabella3346[[#This Row],[2041%]]</f>
        <v>327449.39573071356</v>
      </c>
      <c r="Y38">
        <f>Y$35*Tabella3346[[#This Row],[2042%]]</f>
        <v>327449.39573071356</v>
      </c>
      <c r="Z38">
        <f>Z$35*Tabella3346[[#This Row],[2043%]]</f>
        <v>327449.39573071356</v>
      </c>
      <c r="AA38">
        <f>AA$35*Tabella3346[[#This Row],[2044%]]</f>
        <v>327449.39573071356</v>
      </c>
      <c r="AB38">
        <f>AB$35*Tabella3346[[#This Row],[2045%]]</f>
        <v>327449.39573071356</v>
      </c>
      <c r="AC38">
        <v>0.95730713852405691</v>
      </c>
      <c r="AD38">
        <v>0.95730713852405691</v>
      </c>
      <c r="AE38">
        <v>0.95730713852405691</v>
      </c>
      <c r="AF38">
        <v>0.95730713852405691</v>
      </c>
      <c r="AG38">
        <v>0.95730713852405691</v>
      </c>
      <c r="AH38">
        <v>0.95730713852405691</v>
      </c>
      <c r="AI38">
        <v>0.95730713852405691</v>
      </c>
      <c r="AJ38">
        <v>0.95730713852405691</v>
      </c>
      <c r="AK38">
        <v>0.95730713852405691</v>
      </c>
      <c r="AL38">
        <v>0.95730713852405691</v>
      </c>
      <c r="AM38">
        <v>0.95730713852405691</v>
      </c>
      <c r="AN38">
        <v>0.95730713852405691</v>
      </c>
      <c r="AO38">
        <v>0.95730713852405691</v>
      </c>
      <c r="AP38">
        <v>0.95730713852405691</v>
      </c>
      <c r="AQ38">
        <v>0.95730713852405691</v>
      </c>
      <c r="AR38">
        <v>0.95730713852405691</v>
      </c>
      <c r="AS38">
        <v>0.95730713852405691</v>
      </c>
      <c r="AT38">
        <v>0.95730713852405691</v>
      </c>
      <c r="AU38">
        <v>0.95730713852405691</v>
      </c>
      <c r="AV38">
        <v>0.95730713852405691</v>
      </c>
      <c r="AW38">
        <v>0.95730713852405691</v>
      </c>
      <c r="AX38">
        <v>0.95730713852405691</v>
      </c>
      <c r="AY38">
        <v>0.95730713852405691</v>
      </c>
      <c r="AZ38">
        <v>0.95730713852405691</v>
      </c>
      <c r="BA38">
        <v>0.95730713852405691</v>
      </c>
      <c r="BB38">
        <v>0.95730713852405691</v>
      </c>
    </row>
    <row r="39" spans="2:54" x14ac:dyDescent="0.35">
      <c r="B39" s="40" t="s">
        <v>14</v>
      </c>
      <c r="C39" s="3">
        <f>C$35*Tabella3346[[#This Row],[2020%]]</f>
        <v>2333.200682117511</v>
      </c>
      <c r="D39">
        <f>D$35*Tabella3346[[#This Row],[2021%]]</f>
        <v>2333.200682117511</v>
      </c>
      <c r="E39">
        <f>E$35*Tabella3346[[#This Row],[2022%]]</f>
        <v>2333.2006821175091</v>
      </c>
      <c r="F39">
        <f>F$35*Tabella3346[[#This Row],[2023%]]</f>
        <v>2333.2006821175091</v>
      </c>
      <c r="G39">
        <f>G$35*Tabella3346[[#This Row],[2024%]]</f>
        <v>2333.2006821175091</v>
      </c>
      <c r="H39" s="3">
        <f>H$35*Tabella3346[[#This Row],[2025%]]</f>
        <v>2333.2006821175091</v>
      </c>
      <c r="I39">
        <f>I$35*Tabella3346[[#This Row],[2026%]]</f>
        <v>2333.2006821175091</v>
      </c>
      <c r="J39">
        <f>J$35*Tabella3346[[#This Row],[2027%]]</f>
        <v>2333.2006821175091</v>
      </c>
      <c r="K39">
        <f>K$35*Tabella3346[[#This Row],[2028%]]</f>
        <v>2333.2006821175091</v>
      </c>
      <c r="L39">
        <f>L$35*Tabella3346[[#This Row],[2029%]]</f>
        <v>2333.2006821175091</v>
      </c>
      <c r="M39" s="3">
        <f>M$35*Tabella3346[[#This Row],[2030%]]</f>
        <v>2333.2006821175091</v>
      </c>
      <c r="N39">
        <f>N$35*Tabella3346[[#This Row],[2031%]]</f>
        <v>2333.2006821175091</v>
      </c>
      <c r="O39">
        <f>O$35*Tabella3346[[#This Row],[2032%]]</f>
        <v>2333.2006821175091</v>
      </c>
      <c r="P39">
        <f>P$35*Tabella3346[[#This Row],[2033%]]</f>
        <v>2333.2006821175091</v>
      </c>
      <c r="Q39">
        <f>Q$35*Tabella3346[[#This Row],[2034%]]</f>
        <v>2333.2006821175091</v>
      </c>
      <c r="R39">
        <f>R$35*Tabella3346[[#This Row],[2035%]]</f>
        <v>2333.2006821175091</v>
      </c>
      <c r="S39">
        <f>S$35*Tabella3346[[#This Row],[2036%]]</f>
        <v>2333.2006821175091</v>
      </c>
      <c r="T39">
        <f>T$35*Tabella3346[[#This Row],[2037%]]</f>
        <v>2333.2006821175091</v>
      </c>
      <c r="U39">
        <f>U$35*Tabella3346[[#This Row],[2038%]]</f>
        <v>2333.2006821175091</v>
      </c>
      <c r="V39">
        <f>V$35*Tabella3346[[#This Row],[2039%]]</f>
        <v>2333.2006821175091</v>
      </c>
      <c r="W39">
        <f>W$35*Tabella3346[[#This Row],[2040%]]</f>
        <v>2333.2006821175091</v>
      </c>
      <c r="X39">
        <f>X$35*Tabella3346[[#This Row],[2041%]]</f>
        <v>2333.2006821175091</v>
      </c>
      <c r="Y39">
        <f>Y$35*Tabella3346[[#This Row],[2042%]]</f>
        <v>2333.2006821175091</v>
      </c>
      <c r="Z39">
        <f>Z$35*Tabella3346[[#This Row],[2043%]]</f>
        <v>2333.2006821175091</v>
      </c>
      <c r="AA39">
        <f>AA$35*Tabella3346[[#This Row],[2044%]]</f>
        <v>2333.2006821175091</v>
      </c>
      <c r="AB39">
        <f>AB$35*Tabella3346[[#This Row],[2045%]]</f>
        <v>2333.2006821175091</v>
      </c>
      <c r="AC39">
        <v>6.8211751120076589E-3</v>
      </c>
      <c r="AD39">
        <v>6.8211751120076589E-3</v>
      </c>
      <c r="AE39">
        <v>6.8211751120076589E-3</v>
      </c>
      <c r="AF39">
        <v>6.8211751120076589E-3</v>
      </c>
      <c r="AG39">
        <v>6.8211751120076589E-3</v>
      </c>
      <c r="AH39">
        <v>6.8211751120076589E-3</v>
      </c>
      <c r="AI39">
        <v>6.8211751120076589E-3</v>
      </c>
      <c r="AJ39">
        <v>6.8211751120076589E-3</v>
      </c>
      <c r="AK39">
        <v>6.8211751120076589E-3</v>
      </c>
      <c r="AL39">
        <v>6.8211751120076589E-3</v>
      </c>
      <c r="AM39">
        <v>6.8211751120076589E-3</v>
      </c>
      <c r="AN39">
        <v>6.8211751120076589E-3</v>
      </c>
      <c r="AO39">
        <v>6.8211751120076589E-3</v>
      </c>
      <c r="AP39">
        <v>6.8211751120076589E-3</v>
      </c>
      <c r="AQ39">
        <v>6.8211751120076589E-3</v>
      </c>
      <c r="AR39">
        <v>6.8211751120076589E-3</v>
      </c>
      <c r="AS39">
        <v>6.8211751120076589E-3</v>
      </c>
      <c r="AT39">
        <v>6.8211751120076589E-3</v>
      </c>
      <c r="AU39">
        <v>6.8211751120076589E-3</v>
      </c>
      <c r="AV39">
        <v>6.8211751120076589E-3</v>
      </c>
      <c r="AW39">
        <v>6.8211751120076589E-3</v>
      </c>
      <c r="AX39">
        <v>6.8211751120076589E-3</v>
      </c>
      <c r="AY39">
        <v>6.8211751120076589E-3</v>
      </c>
      <c r="AZ39">
        <v>6.8211751120076589E-3</v>
      </c>
      <c r="BA39">
        <v>6.8211751120076589E-3</v>
      </c>
      <c r="BB39">
        <v>6.8211751120076589E-3</v>
      </c>
    </row>
    <row r="40" spans="2:54" x14ac:dyDescent="0.35">
      <c r="B40" s="40" t="s">
        <v>9</v>
      </c>
      <c r="C40" s="3">
        <f>C$35*Tabella3346[[#This Row],[2020%]]</f>
        <v>3099.8009062351539</v>
      </c>
      <c r="D40">
        <f>D$35*Tabella3346[[#This Row],[2021%]]</f>
        <v>3099.8009062351539</v>
      </c>
      <c r="E40">
        <f>E$35*Tabella3346[[#This Row],[2022%]]</f>
        <v>3099.8009062351521</v>
      </c>
      <c r="F40">
        <f>F$35*Tabella3346[[#This Row],[2023%]]</f>
        <v>3099.8009062351521</v>
      </c>
      <c r="G40">
        <f>G$35*Tabella3346[[#This Row],[2024%]]</f>
        <v>3099.8009062351521</v>
      </c>
      <c r="H40" s="3">
        <f>H$35*Tabella3346[[#This Row],[2025%]]</f>
        <v>3099.8009062351521</v>
      </c>
      <c r="I40">
        <f>I$35*Tabella3346[[#This Row],[2026%]]</f>
        <v>3099.8009062351521</v>
      </c>
      <c r="J40">
        <f>J$35*Tabella3346[[#This Row],[2027%]]</f>
        <v>3099.8009062351521</v>
      </c>
      <c r="K40">
        <f>K$35*Tabella3346[[#This Row],[2028%]]</f>
        <v>3099.8009062351521</v>
      </c>
      <c r="L40">
        <f>L$35*Tabella3346[[#This Row],[2029%]]</f>
        <v>3099.8009062351521</v>
      </c>
      <c r="M40" s="3">
        <f>M$35*Tabella3346[[#This Row],[2030%]]</f>
        <v>3099.8009062351521</v>
      </c>
      <c r="N40">
        <f>N$35*Tabella3346[[#This Row],[2031%]]</f>
        <v>3099.8009062351521</v>
      </c>
      <c r="O40">
        <f>O$35*Tabella3346[[#This Row],[2032%]]</f>
        <v>3099.8009062351521</v>
      </c>
      <c r="P40">
        <f>P$35*Tabella3346[[#This Row],[2033%]]</f>
        <v>3099.8009062351521</v>
      </c>
      <c r="Q40">
        <f>Q$35*Tabella3346[[#This Row],[2034%]]</f>
        <v>3099.8009062351521</v>
      </c>
      <c r="R40">
        <f>R$35*Tabella3346[[#This Row],[2035%]]</f>
        <v>3099.8009062351521</v>
      </c>
      <c r="S40">
        <f>S$35*Tabella3346[[#This Row],[2036%]]</f>
        <v>3099.8009062351521</v>
      </c>
      <c r="T40">
        <f>T$35*Tabella3346[[#This Row],[2037%]]</f>
        <v>3099.8009062351521</v>
      </c>
      <c r="U40">
        <f>U$35*Tabella3346[[#This Row],[2038%]]</f>
        <v>3099.8009062351521</v>
      </c>
      <c r="V40">
        <f>V$35*Tabella3346[[#This Row],[2039%]]</f>
        <v>3099.8009062351521</v>
      </c>
      <c r="W40">
        <f>W$35*Tabella3346[[#This Row],[2040%]]</f>
        <v>3099.8009062351521</v>
      </c>
      <c r="X40">
        <f>X$35*Tabella3346[[#This Row],[2041%]]</f>
        <v>3099.8009062351521</v>
      </c>
      <c r="Y40">
        <f>Y$35*Tabella3346[[#This Row],[2042%]]</f>
        <v>3099.8009062351521</v>
      </c>
      <c r="Z40">
        <f>Z$35*Tabella3346[[#This Row],[2043%]]</f>
        <v>3099.8009062351521</v>
      </c>
      <c r="AA40">
        <f>AA$35*Tabella3346[[#This Row],[2044%]]</f>
        <v>3099.8009062351521</v>
      </c>
      <c r="AB40">
        <f>AB$35*Tabella3346[[#This Row],[2045%]]</f>
        <v>3099.8009062351521</v>
      </c>
      <c r="AC40">
        <v>9.0623515396028396E-3</v>
      </c>
      <c r="AD40">
        <v>9.0623515396028396E-3</v>
      </c>
      <c r="AE40">
        <v>9.0623515396028396E-3</v>
      </c>
      <c r="AF40">
        <v>9.0623515396028396E-3</v>
      </c>
      <c r="AG40">
        <v>9.0623515396028396E-3</v>
      </c>
      <c r="AH40">
        <v>9.0623515396028396E-3</v>
      </c>
      <c r="AI40">
        <v>9.0623515396028396E-3</v>
      </c>
      <c r="AJ40">
        <v>9.0623515396028396E-3</v>
      </c>
      <c r="AK40">
        <v>9.0623515396028396E-3</v>
      </c>
      <c r="AL40">
        <v>9.0623515396028396E-3</v>
      </c>
      <c r="AM40">
        <v>9.0623515396028396E-3</v>
      </c>
      <c r="AN40">
        <v>9.0623515396028396E-3</v>
      </c>
      <c r="AO40">
        <v>9.0623515396028396E-3</v>
      </c>
      <c r="AP40">
        <v>9.0623515396028396E-3</v>
      </c>
      <c r="AQ40">
        <v>9.0623515396028396E-3</v>
      </c>
      <c r="AR40">
        <v>9.0623515396028396E-3</v>
      </c>
      <c r="AS40">
        <v>9.0623515396028396E-3</v>
      </c>
      <c r="AT40">
        <v>9.0623515396028396E-3</v>
      </c>
      <c r="AU40">
        <v>9.0623515396028396E-3</v>
      </c>
      <c r="AV40">
        <v>9.0623515396028396E-3</v>
      </c>
      <c r="AW40">
        <v>9.0623515396028396E-3</v>
      </c>
      <c r="AX40">
        <v>9.0623515396028396E-3</v>
      </c>
      <c r="AY40">
        <v>9.0623515396028396E-3</v>
      </c>
      <c r="AZ40">
        <v>9.0623515396028396E-3</v>
      </c>
      <c r="BA40">
        <v>9.0623515396028396E-3</v>
      </c>
      <c r="BB40">
        <v>9.0623515396028396E-3</v>
      </c>
    </row>
    <row r="42" spans="2:54" x14ac:dyDescent="0.35">
      <c r="B42" s="3" t="s">
        <v>32</v>
      </c>
      <c r="C42" s="3">
        <v>33322.276000000005</v>
      </c>
      <c r="D42">
        <v>33013.848400000003</v>
      </c>
      <c r="E42">
        <v>32705.420800000004</v>
      </c>
      <c r="F42">
        <v>32396.993200000004</v>
      </c>
      <c r="G42">
        <v>32088.565600000005</v>
      </c>
      <c r="H42" s="3">
        <v>31780.138000000006</v>
      </c>
      <c r="I42">
        <v>31471.710400000007</v>
      </c>
      <c r="J42">
        <v>31163.282800000008</v>
      </c>
      <c r="K42">
        <v>30854.855200000009</v>
      </c>
      <c r="L42">
        <v>30546.42760000001</v>
      </c>
      <c r="M42" s="3">
        <v>30238</v>
      </c>
      <c r="N42">
        <v>29929.572399999997</v>
      </c>
      <c r="O42">
        <v>29621.144799999995</v>
      </c>
      <c r="P42">
        <v>29312.717199999992</v>
      </c>
      <c r="Q42">
        <v>29004.289599999989</v>
      </c>
      <c r="R42">
        <v>28695.861999999986</v>
      </c>
      <c r="S42">
        <v>28387.434399999984</v>
      </c>
      <c r="T42">
        <v>28079.006799999981</v>
      </c>
      <c r="U42">
        <v>27770.579199999978</v>
      </c>
      <c r="V42">
        <v>27462.151599999976</v>
      </c>
      <c r="W42">
        <v>27153.723999999973</v>
      </c>
      <c r="X42">
        <v>27153.723999999973</v>
      </c>
      <c r="Y42">
        <v>27153.723999999973</v>
      </c>
      <c r="Z42">
        <v>27153.723999999973</v>
      </c>
      <c r="AA42">
        <v>27153.723999999973</v>
      </c>
      <c r="AB42">
        <v>27153.723999999973</v>
      </c>
      <c r="AC42">
        <v>1</v>
      </c>
      <c r="AD42">
        <v>1</v>
      </c>
      <c r="AE42">
        <v>0.99999999999999978</v>
      </c>
      <c r="AF42">
        <v>0.99999999999999978</v>
      </c>
      <c r="AG42">
        <v>0.99999999999999978</v>
      </c>
      <c r="AH42">
        <v>0.99999999999999978</v>
      </c>
      <c r="AI42">
        <v>0.99999999999999967</v>
      </c>
      <c r="AJ42">
        <v>0.99999999999999956</v>
      </c>
      <c r="AK42">
        <v>0.99999999999999967</v>
      </c>
      <c r="AL42">
        <v>0.99999999999999956</v>
      </c>
      <c r="AM42">
        <v>0.99999999999999989</v>
      </c>
      <c r="AN42">
        <v>0.99999999999999989</v>
      </c>
      <c r="AO42">
        <v>0.99999999999999989</v>
      </c>
      <c r="AP42">
        <v>0.99999999999999989</v>
      </c>
      <c r="AQ42">
        <v>0.99999999999999989</v>
      </c>
      <c r="AR42">
        <v>0.99999999999999989</v>
      </c>
      <c r="AS42">
        <v>0.99999999999999989</v>
      </c>
      <c r="AT42">
        <v>0.99999999999999989</v>
      </c>
      <c r="AU42">
        <v>0.99999999999999989</v>
      </c>
      <c r="AV42">
        <v>0.99999999999999989</v>
      </c>
      <c r="AW42">
        <v>0.99999999999999989</v>
      </c>
      <c r="AX42">
        <v>0.99999999999999989</v>
      </c>
      <c r="AY42">
        <v>0.99999999999999989</v>
      </c>
      <c r="AZ42">
        <v>0.99999999999999989</v>
      </c>
      <c r="BA42">
        <v>0.99999999999999989</v>
      </c>
      <c r="BB42">
        <v>0.99999999999999989</v>
      </c>
    </row>
    <row r="43" spans="2:54" x14ac:dyDescent="0.35">
      <c r="B43" t="s">
        <v>29</v>
      </c>
      <c r="C43" s="3">
        <v>6310.4380000000001</v>
      </c>
      <c r="D43">
        <v>6252.0292272232309</v>
      </c>
      <c r="E43">
        <v>6193.6204544464617</v>
      </c>
      <c r="F43">
        <v>6135.2116816696926</v>
      </c>
      <c r="G43">
        <v>6076.8029088929234</v>
      </c>
      <c r="H43" s="3">
        <v>6018.3941361161542</v>
      </c>
      <c r="I43">
        <v>5959.985363339385</v>
      </c>
      <c r="J43">
        <v>5901.5765905626158</v>
      </c>
      <c r="K43">
        <v>5843.1678177858466</v>
      </c>
      <c r="L43">
        <v>5784.7590450090775</v>
      </c>
      <c r="M43" s="3">
        <v>5726.3502722323046</v>
      </c>
      <c r="N43">
        <f>N$42*Tabella3346[[#This Row],[2031%]]</f>
        <v>5667.9414994555345</v>
      </c>
      <c r="O43">
        <f>O$42*Tabella3346[[#This Row],[2032%]]</f>
        <v>5609.5327266787644</v>
      </c>
      <c r="P43">
        <f>P$42*Tabella3346[[#This Row],[2033%]]</f>
        <v>5551.1239539019944</v>
      </c>
      <c r="Q43">
        <f>Q$42*Tabella3346[[#This Row],[2034%]]</f>
        <v>5492.7151811252243</v>
      </c>
      <c r="R43">
        <f>R$42*Tabella3346[[#This Row],[2035%]]</f>
        <v>5434.3064083484542</v>
      </c>
      <c r="S43">
        <f>S$42*Tabella3346[[#This Row],[2036%]]</f>
        <v>5375.8976355716841</v>
      </c>
      <c r="T43">
        <f>T$42*Tabella3346[[#This Row],[2037%]]</f>
        <v>5317.488862794914</v>
      </c>
      <c r="U43">
        <f>U$42*Tabella3346[[#This Row],[2038%]]</f>
        <v>5259.0800900181439</v>
      </c>
      <c r="V43">
        <f>V$42*Tabella3346[[#This Row],[2039%]]</f>
        <v>5200.6713172413747</v>
      </c>
      <c r="W43">
        <f>W$42*Tabella3346[[#This Row],[2040%]]</f>
        <v>5142.2625444646046</v>
      </c>
      <c r="X43">
        <f>X$42*Tabella3346[[#This Row],[2041%]]</f>
        <v>5142.2625444646046</v>
      </c>
      <c r="Y43">
        <f>Y$42*Tabella3346[[#This Row],[2042%]]</f>
        <v>5142.2625444646046</v>
      </c>
      <c r="Z43">
        <f>Z$42*Tabella3346[[#This Row],[2043%]]</f>
        <v>5142.2625444646046</v>
      </c>
      <c r="AA43">
        <f>AA$42*Tabella3346[[#This Row],[2044%]]</f>
        <v>5142.2625444646046</v>
      </c>
      <c r="AB43">
        <f>AB$42*Tabella3346[[#This Row],[2045%]]</f>
        <v>5142.2625444646046</v>
      </c>
      <c r="AC43">
        <v>0.18937595979338262</v>
      </c>
      <c r="AD43">
        <v>0.18937595979338265</v>
      </c>
      <c r="AE43">
        <v>0.18937595979338268</v>
      </c>
      <c r="AF43">
        <v>0.18937595979338268</v>
      </c>
      <c r="AG43">
        <v>0.18937595979338268</v>
      </c>
      <c r="AH43">
        <v>0.18937595979338268</v>
      </c>
      <c r="AI43">
        <v>0.18937595979338268</v>
      </c>
      <c r="AJ43">
        <v>0.18937595979338268</v>
      </c>
      <c r="AK43">
        <v>0.1893759597933827</v>
      </c>
      <c r="AL43">
        <v>0.1893759597933827</v>
      </c>
      <c r="AM43">
        <v>0.18937595979338265</v>
      </c>
      <c r="AN43">
        <v>0.18937595979338265</v>
      </c>
      <c r="AO43">
        <v>0.18937595979338265</v>
      </c>
      <c r="AP43">
        <v>0.18937595979338265</v>
      </c>
      <c r="AQ43">
        <v>0.18937595979338265</v>
      </c>
      <c r="AR43">
        <v>0.18937595979338265</v>
      </c>
      <c r="AS43">
        <v>0.18937595979338265</v>
      </c>
      <c r="AT43">
        <v>0.18937595979338265</v>
      </c>
      <c r="AU43">
        <v>0.18937595979338265</v>
      </c>
      <c r="AV43">
        <v>0.18937595979338265</v>
      </c>
      <c r="AW43">
        <v>0.18937595979338265</v>
      </c>
      <c r="AX43">
        <v>0.18937595979338265</v>
      </c>
      <c r="AY43">
        <v>0.18937595979338265</v>
      </c>
      <c r="AZ43">
        <v>0.18937595979338265</v>
      </c>
      <c r="BA43">
        <v>0.18937595979338265</v>
      </c>
      <c r="BB43">
        <v>0.18937595979338265</v>
      </c>
    </row>
    <row r="44" spans="2:54" x14ac:dyDescent="0.35">
      <c r="B44" t="s">
        <v>28</v>
      </c>
      <c r="C44" s="3">
        <v>1580.5169999999998</v>
      </c>
      <c r="D44">
        <v>1565.8878952813066</v>
      </c>
      <c r="E44">
        <v>1551.2587905626133</v>
      </c>
      <c r="F44">
        <v>1536.62968584392</v>
      </c>
      <c r="G44">
        <v>1522.0005811252267</v>
      </c>
      <c r="H44" s="3">
        <v>1507.3714764065335</v>
      </c>
      <c r="I44">
        <v>1492.7423716878402</v>
      </c>
      <c r="J44">
        <v>1478.1132669691469</v>
      </c>
      <c r="K44">
        <v>1463.4841622504537</v>
      </c>
      <c r="L44">
        <v>1448.8550575317604</v>
      </c>
      <c r="M44" s="3">
        <v>1434.2259528130671</v>
      </c>
      <c r="N44">
        <f>N$42*Tabella3346[[#This Row],[2031%]]</f>
        <v>1419.5968480943736</v>
      </c>
      <c r="O44">
        <f>O$42*Tabella3346[[#This Row],[2032%]]</f>
        <v>1404.9677433756801</v>
      </c>
      <c r="P44">
        <f>P$42*Tabella3346[[#This Row],[2033%]]</f>
        <v>1390.3386386569869</v>
      </c>
      <c r="Q44">
        <f>Q$42*Tabella3346[[#This Row],[2034%]]</f>
        <v>1375.7095339382934</v>
      </c>
      <c r="R44">
        <f>R$42*Tabella3346[[#This Row],[2035%]]</f>
        <v>1361.0804292195999</v>
      </c>
      <c r="S44">
        <f>S$42*Tabella3346[[#This Row],[2036%]]</f>
        <v>1346.4513245009066</v>
      </c>
      <c r="T44">
        <f>T$42*Tabella3346[[#This Row],[2037%]]</f>
        <v>1331.8222197822131</v>
      </c>
      <c r="U44">
        <f>U$42*Tabella3346[[#This Row],[2038%]]</f>
        <v>1317.1931150635198</v>
      </c>
      <c r="V44">
        <f>V$42*Tabella3346[[#This Row],[2039%]]</f>
        <v>1302.5640103448263</v>
      </c>
      <c r="W44">
        <f>W$42*Tabella3346[[#This Row],[2040%]]</f>
        <v>1287.9349056261328</v>
      </c>
      <c r="X44">
        <f>X$42*Tabella3346[[#This Row],[2041%]]</f>
        <v>1287.9349056261328</v>
      </c>
      <c r="Y44">
        <f>Y$42*Tabella3346[[#This Row],[2042%]]</f>
        <v>1287.9349056261328</v>
      </c>
      <c r="Z44">
        <f>Z$42*Tabella3346[[#This Row],[2043%]]</f>
        <v>1287.9349056261328</v>
      </c>
      <c r="AA44">
        <f>AA$42*Tabella3346[[#This Row],[2044%]]</f>
        <v>1287.9349056261328</v>
      </c>
      <c r="AB44">
        <f>AB$42*Tabella3346[[#This Row],[2045%]]</f>
        <v>1287.9349056261328</v>
      </c>
      <c r="AC44">
        <v>4.7431243892223918E-2</v>
      </c>
      <c r="AD44">
        <v>4.7431243892223918E-2</v>
      </c>
      <c r="AE44">
        <v>4.7431243892223918E-2</v>
      </c>
      <c r="AF44">
        <v>4.7431243892223918E-2</v>
      </c>
      <c r="AG44">
        <v>4.7431243892223918E-2</v>
      </c>
      <c r="AH44">
        <v>4.7431243892223918E-2</v>
      </c>
      <c r="AI44">
        <v>4.7431243892223918E-2</v>
      </c>
      <c r="AJ44">
        <v>4.7431243892223911E-2</v>
      </c>
      <c r="AK44">
        <v>4.7431243892223911E-2</v>
      </c>
      <c r="AL44">
        <v>4.7431243892223911E-2</v>
      </c>
      <c r="AM44">
        <v>4.7431243892223925E-2</v>
      </c>
      <c r="AN44">
        <v>4.7431243892223925E-2</v>
      </c>
      <c r="AO44">
        <v>4.7431243892223925E-2</v>
      </c>
      <c r="AP44">
        <v>4.7431243892223925E-2</v>
      </c>
      <c r="AQ44">
        <v>4.7431243892223925E-2</v>
      </c>
      <c r="AR44">
        <v>4.7431243892223925E-2</v>
      </c>
      <c r="AS44">
        <v>4.7431243892223925E-2</v>
      </c>
      <c r="AT44">
        <v>4.7431243892223925E-2</v>
      </c>
      <c r="AU44">
        <v>4.7431243892223925E-2</v>
      </c>
      <c r="AV44">
        <v>4.7431243892223925E-2</v>
      </c>
      <c r="AW44">
        <v>4.7431243892223925E-2</v>
      </c>
      <c r="AX44">
        <v>4.7431243892223925E-2</v>
      </c>
      <c r="AY44">
        <v>4.7431243892223925E-2</v>
      </c>
      <c r="AZ44">
        <v>4.7431243892223925E-2</v>
      </c>
      <c r="BA44">
        <v>4.7431243892223925E-2</v>
      </c>
      <c r="BB44">
        <v>4.7431243892223925E-2</v>
      </c>
    </row>
    <row r="45" spans="2:54" x14ac:dyDescent="0.35">
      <c r="B45" t="s">
        <v>30</v>
      </c>
      <c r="C45" s="3">
        <v>25431.321</v>
      </c>
      <c r="D45">
        <v>25195.931277495463</v>
      </c>
      <c r="E45">
        <v>24960.541554990927</v>
      </c>
      <c r="F45">
        <v>24725.15183248639</v>
      </c>
      <c r="G45">
        <v>24489.762109981853</v>
      </c>
      <c r="H45" s="3">
        <v>24254.372387477317</v>
      </c>
      <c r="I45">
        <v>24018.98266497278</v>
      </c>
      <c r="J45">
        <v>23783.592942468244</v>
      </c>
      <c r="K45">
        <v>23548.203219963707</v>
      </c>
      <c r="L45">
        <v>23312.81349745917</v>
      </c>
      <c r="M45" s="3">
        <v>23077.42377495463</v>
      </c>
      <c r="N45">
        <f>N$42*Tabella3346[[#This Row],[2031%]]</f>
        <v>22842.034052450093</v>
      </c>
      <c r="O45">
        <f>O$42*Tabella3346[[#This Row],[2032%]]</f>
        <v>22606.644329945553</v>
      </c>
      <c r="P45">
        <f>P$42*Tabella3346[[#This Row],[2033%]]</f>
        <v>22371.254607441013</v>
      </c>
      <c r="Q45">
        <f>Q$42*Tabella3346[[#This Row],[2034%]]</f>
        <v>22135.864884936473</v>
      </c>
      <c r="R45">
        <f>R$42*Tabella3346[[#This Row],[2035%]]</f>
        <v>21900.475162431936</v>
      </c>
      <c r="S45">
        <f>S$42*Tabella3346[[#This Row],[2036%]]</f>
        <v>21665.085439927396</v>
      </c>
      <c r="T45">
        <f>T$42*Tabella3346[[#This Row],[2037%]]</f>
        <v>21429.695717422856</v>
      </c>
      <c r="U45">
        <f>U$42*Tabella3346[[#This Row],[2038%]]</f>
        <v>21194.305994918315</v>
      </c>
      <c r="V45">
        <f>V$42*Tabella3346[[#This Row],[2039%]]</f>
        <v>20958.916272413779</v>
      </c>
      <c r="W45">
        <f>W$42*Tabella3346[[#This Row],[2040%]]</f>
        <v>20723.526549909238</v>
      </c>
      <c r="X45">
        <f>X$42*Tabella3346[[#This Row],[2041%]]</f>
        <v>20723.526549909238</v>
      </c>
      <c r="Y45">
        <f>Y$42*Tabella3346[[#This Row],[2042%]]</f>
        <v>20723.526549909238</v>
      </c>
      <c r="Z45">
        <f>Z$42*Tabella3346[[#This Row],[2043%]]</f>
        <v>20723.526549909238</v>
      </c>
      <c r="AA45">
        <f>AA$42*Tabella3346[[#This Row],[2044%]]</f>
        <v>20723.526549909238</v>
      </c>
      <c r="AB45">
        <f>AB$42*Tabella3346[[#This Row],[2045%]]</f>
        <v>20723.526549909238</v>
      </c>
      <c r="AC45">
        <v>0.7631927963143933</v>
      </c>
      <c r="AD45">
        <v>0.76319279631439341</v>
      </c>
      <c r="AE45">
        <v>0.76319279631439341</v>
      </c>
      <c r="AF45">
        <v>0.76319279631439341</v>
      </c>
      <c r="AG45">
        <v>0.76319279631439341</v>
      </c>
      <c r="AH45">
        <v>0.7631927963143933</v>
      </c>
      <c r="AI45">
        <v>0.7631927963143933</v>
      </c>
      <c r="AJ45">
        <v>0.7631927963143933</v>
      </c>
      <c r="AK45">
        <v>0.7631927963143933</v>
      </c>
      <c r="AL45">
        <v>0.7631927963143933</v>
      </c>
      <c r="AM45">
        <v>0.76319279631439352</v>
      </c>
      <c r="AN45">
        <v>0.76319279631439352</v>
      </c>
      <c r="AO45">
        <v>0.76319279631439352</v>
      </c>
      <c r="AP45">
        <v>0.76319279631439352</v>
      </c>
      <c r="AQ45">
        <v>0.76319279631439352</v>
      </c>
      <c r="AR45">
        <v>0.76319279631439352</v>
      </c>
      <c r="AS45">
        <v>0.76319279631439352</v>
      </c>
      <c r="AT45">
        <v>0.76319279631439352</v>
      </c>
      <c r="AU45">
        <v>0.76319279631439352</v>
      </c>
      <c r="AV45">
        <v>0.76319279631439352</v>
      </c>
      <c r="AW45">
        <v>0.76319279631439352</v>
      </c>
      <c r="AX45">
        <v>0.76319279631439352</v>
      </c>
      <c r="AY45">
        <v>0.76319279631439352</v>
      </c>
      <c r="AZ45">
        <v>0.76319279631439352</v>
      </c>
      <c r="BA45">
        <v>0.76319279631439352</v>
      </c>
      <c r="BB45">
        <v>0.76319279631439352</v>
      </c>
    </row>
    <row r="48" spans="2:54" x14ac:dyDescent="0.35">
      <c r="B48" t="s">
        <v>52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21</v>
      </c>
      <c r="I48" t="s">
        <v>22</v>
      </c>
      <c r="J48" t="s">
        <v>23</v>
      </c>
      <c r="K48" t="s">
        <v>24</v>
      </c>
      <c r="L48" t="s">
        <v>25</v>
      </c>
      <c r="M48" t="s">
        <v>26</v>
      </c>
      <c r="N48" t="s">
        <v>37</v>
      </c>
      <c r="O48" t="s">
        <v>54</v>
      </c>
      <c r="P48" t="s">
        <v>55</v>
      </c>
      <c r="Q48" t="s">
        <v>56</v>
      </c>
      <c r="R48" t="s">
        <v>57</v>
      </c>
      <c r="S48" t="s">
        <v>58</v>
      </c>
      <c r="T48" t="s">
        <v>59</v>
      </c>
      <c r="U48" t="s">
        <v>60</v>
      </c>
      <c r="V48" t="s">
        <v>61</v>
      </c>
      <c r="W48" t="s">
        <v>62</v>
      </c>
      <c r="X48" t="s">
        <v>85</v>
      </c>
      <c r="Y48" t="s">
        <v>86</v>
      </c>
      <c r="Z48" t="s">
        <v>87</v>
      </c>
      <c r="AA48" t="s">
        <v>88</v>
      </c>
      <c r="AB48" t="s">
        <v>89</v>
      </c>
    </row>
    <row r="49" spans="2:28" x14ac:dyDescent="0.35">
      <c r="B49" t="s">
        <v>53</v>
      </c>
      <c r="C49">
        <v>342052.6</v>
      </c>
      <c r="D49">
        <v>342052.6</v>
      </c>
      <c r="E49">
        <v>342052.59999999974</v>
      </c>
      <c r="F49">
        <v>342052.59999999974</v>
      </c>
      <c r="G49">
        <v>342052.59999999974</v>
      </c>
      <c r="H49">
        <v>342052.59999999974</v>
      </c>
      <c r="I49">
        <v>342052.59999999974</v>
      </c>
      <c r="J49">
        <v>342052.59999999974</v>
      </c>
      <c r="K49">
        <v>342052.59999999974</v>
      </c>
      <c r="L49">
        <v>342052.59999999974</v>
      </c>
      <c r="M49">
        <v>342052.59999999974</v>
      </c>
      <c r="N49">
        <v>342052.59999999974</v>
      </c>
      <c r="O49">
        <v>342052.59999999974</v>
      </c>
      <c r="P49">
        <v>342052.59999999974</v>
      </c>
      <c r="Q49">
        <v>342052.59999999974</v>
      </c>
      <c r="R49">
        <v>342052.59999999974</v>
      </c>
      <c r="S49">
        <v>342052.59999999974</v>
      </c>
      <c r="T49">
        <v>342052.59999999974</v>
      </c>
      <c r="U49">
        <v>342052.59999999974</v>
      </c>
      <c r="V49">
        <v>342052.59999999974</v>
      </c>
      <c r="W49">
        <v>342052.59999999974</v>
      </c>
      <c r="X49">
        <v>342052.59999999974</v>
      </c>
      <c r="Y49">
        <v>342052.59999999974</v>
      </c>
      <c r="Z49">
        <v>342052.59999999974</v>
      </c>
      <c r="AA49">
        <v>342052.59999999974</v>
      </c>
      <c r="AB49">
        <v>342052.59999999974</v>
      </c>
    </row>
    <row r="50" spans="2:28" x14ac:dyDescent="0.35">
      <c r="B50" t="s">
        <v>32</v>
      </c>
      <c r="C50">
        <v>33322.276000000005</v>
      </c>
      <c r="D50">
        <v>33013.848400000003</v>
      </c>
      <c r="E50">
        <v>32705.420800000004</v>
      </c>
      <c r="F50">
        <v>32396.993200000004</v>
      </c>
      <c r="G50">
        <v>32088.565600000005</v>
      </c>
      <c r="H50">
        <v>31780.138000000006</v>
      </c>
      <c r="I50">
        <v>31471.710400000007</v>
      </c>
      <c r="J50">
        <v>31163.282800000008</v>
      </c>
      <c r="K50">
        <v>30854.855200000009</v>
      </c>
      <c r="L50">
        <v>30546.42760000001</v>
      </c>
      <c r="M50">
        <v>30238</v>
      </c>
      <c r="N50">
        <v>29929.572399999997</v>
      </c>
      <c r="O50">
        <v>29621.144799999995</v>
      </c>
      <c r="P50">
        <v>29312.717199999992</v>
      </c>
      <c r="Q50">
        <v>29004.289599999989</v>
      </c>
      <c r="R50">
        <v>28695.861999999986</v>
      </c>
      <c r="S50">
        <v>28387.434399999984</v>
      </c>
      <c r="T50">
        <v>28079.006799999981</v>
      </c>
      <c r="U50">
        <v>27770.579199999978</v>
      </c>
      <c r="V50">
        <v>27462.151599999976</v>
      </c>
      <c r="W50">
        <v>27153.723999999973</v>
      </c>
      <c r="X50">
        <v>27153.723999999973</v>
      </c>
      <c r="Y50">
        <v>27153.723999999973</v>
      </c>
      <c r="Z50">
        <v>27153.723999999973</v>
      </c>
      <c r="AA50">
        <v>27153.723999999973</v>
      </c>
      <c r="AB50">
        <v>27153.723999999973</v>
      </c>
    </row>
    <row r="51" spans="2:28" x14ac:dyDescent="0.35">
      <c r="B51" t="s">
        <v>6</v>
      </c>
      <c r="C51">
        <v>374951.2</v>
      </c>
      <c r="D51">
        <v>381836.16000000003</v>
      </c>
      <c r="E51">
        <v>388721.12000000005</v>
      </c>
      <c r="F51">
        <v>395606.08000000007</v>
      </c>
      <c r="G51">
        <v>402491.0400000001</v>
      </c>
      <c r="H51">
        <v>409376.00000000006</v>
      </c>
      <c r="I51">
        <v>402886.46</v>
      </c>
      <c r="J51">
        <v>396396.92</v>
      </c>
      <c r="K51">
        <v>389907.37999999995</v>
      </c>
      <c r="L51">
        <v>383417.83999999991</v>
      </c>
      <c r="M51">
        <v>376928.3</v>
      </c>
      <c r="N51">
        <v>370438.75999999995</v>
      </c>
      <c r="O51">
        <v>363949.21999999991</v>
      </c>
      <c r="P51">
        <v>357459.67999999988</v>
      </c>
      <c r="Q51">
        <v>350970.13999999984</v>
      </c>
      <c r="R51">
        <v>344480.5999999998</v>
      </c>
      <c r="S51">
        <v>337991.05999999976</v>
      </c>
      <c r="T51">
        <v>331501.51999999973</v>
      </c>
      <c r="U51">
        <v>325011.97999999969</v>
      </c>
      <c r="V51">
        <v>318522.43999999965</v>
      </c>
      <c r="W51">
        <v>312032.89999999962</v>
      </c>
      <c r="X51">
        <v>312032.89999999962</v>
      </c>
      <c r="Y51">
        <v>312032.89999999962</v>
      </c>
      <c r="Z51">
        <v>312032.89999999962</v>
      </c>
      <c r="AA51">
        <v>312032.89999999962</v>
      </c>
      <c r="AB51">
        <v>312032.89999999962</v>
      </c>
    </row>
    <row r="52" spans="2:28" x14ac:dyDescent="0.35">
      <c r="B52" t="s">
        <v>5</v>
      </c>
      <c r="C52">
        <v>287493.59999999998</v>
      </c>
      <c r="D52">
        <v>287447.07999999996</v>
      </c>
      <c r="E52">
        <v>287400.55999999994</v>
      </c>
      <c r="F52">
        <v>287354.03999999992</v>
      </c>
      <c r="G52">
        <v>287307.5199999999</v>
      </c>
      <c r="H52">
        <v>287261</v>
      </c>
      <c r="I52">
        <v>284772.18</v>
      </c>
      <c r="J52">
        <v>282283.36</v>
      </c>
      <c r="K52">
        <v>279794.53999999998</v>
      </c>
      <c r="L52">
        <v>277305.71999999997</v>
      </c>
      <c r="M52">
        <v>274816.89999999997</v>
      </c>
      <c r="N52">
        <v>272328.07999999996</v>
      </c>
      <c r="O52">
        <v>269839.25999999995</v>
      </c>
      <c r="P52">
        <v>267350.43999999994</v>
      </c>
      <c r="Q52">
        <v>264861.61999999994</v>
      </c>
      <c r="R52">
        <v>262372.79999999993</v>
      </c>
      <c r="S52">
        <v>259883.97999999992</v>
      </c>
      <c r="T52">
        <v>257395.15999999992</v>
      </c>
      <c r="U52">
        <v>254906.33999999991</v>
      </c>
      <c r="V52">
        <v>252417.5199999999</v>
      </c>
      <c r="W52">
        <v>249928.6999999999</v>
      </c>
      <c r="X52">
        <v>249928.6999999999</v>
      </c>
      <c r="Y52">
        <v>249928.6999999999</v>
      </c>
      <c r="Z52">
        <v>249928.6999999999</v>
      </c>
      <c r="AA52">
        <v>249928.6999999999</v>
      </c>
      <c r="AB52">
        <v>249928.6999999999</v>
      </c>
    </row>
    <row r="53" spans="2:28" x14ac:dyDescent="0.35">
      <c r="B53" t="s">
        <v>4</v>
      </c>
      <c r="C53">
        <v>355878</v>
      </c>
      <c r="D53">
        <v>350156.04</v>
      </c>
      <c r="E53">
        <v>344434.07999999996</v>
      </c>
      <c r="F53">
        <v>338712.11999999994</v>
      </c>
      <c r="G53">
        <v>332990.15999999992</v>
      </c>
      <c r="H53">
        <v>327268.2</v>
      </c>
      <c r="I53">
        <v>319662.18</v>
      </c>
      <c r="J53">
        <v>312056.15999999997</v>
      </c>
      <c r="K53">
        <v>304450.13999999996</v>
      </c>
      <c r="L53">
        <v>296844.11999999994</v>
      </c>
      <c r="M53">
        <v>289238.10000000003</v>
      </c>
      <c r="N53">
        <v>281632.08</v>
      </c>
      <c r="O53">
        <v>274026.06</v>
      </c>
      <c r="P53">
        <v>266420.03999999998</v>
      </c>
      <c r="Q53">
        <v>258814.02</v>
      </c>
      <c r="R53">
        <v>251208</v>
      </c>
      <c r="S53">
        <v>243601.98</v>
      </c>
      <c r="T53">
        <v>235995.96000000002</v>
      </c>
      <c r="U53">
        <v>228389.94000000003</v>
      </c>
      <c r="V53">
        <v>220783.92000000004</v>
      </c>
      <c r="W53">
        <v>213177.90000000005</v>
      </c>
      <c r="X53">
        <v>213177.90000000005</v>
      </c>
      <c r="Y53">
        <v>213177.90000000005</v>
      </c>
      <c r="Z53">
        <v>213177.90000000005</v>
      </c>
      <c r="AA53">
        <v>213177.90000000005</v>
      </c>
      <c r="AB53">
        <v>213177.90000000005</v>
      </c>
    </row>
    <row r="54" spans="2:28" x14ac:dyDescent="0.35">
      <c r="B54" t="s">
        <v>31</v>
      </c>
      <c r="C54">
        <v>172063.524</v>
      </c>
      <c r="D54">
        <v>169045.77160000001</v>
      </c>
      <c r="E54">
        <v>166028.01920000001</v>
      </c>
      <c r="F54">
        <v>163010.26680000001</v>
      </c>
      <c r="G54">
        <v>159992.51440000001</v>
      </c>
      <c r="H54">
        <v>156974.76200000002</v>
      </c>
      <c r="I54">
        <v>153957.00960000002</v>
      </c>
      <c r="J54">
        <v>150939.25720000002</v>
      </c>
      <c r="K54">
        <v>147921.50480000002</v>
      </c>
      <c r="L54">
        <v>144903.75240000003</v>
      </c>
      <c r="M54">
        <v>141886</v>
      </c>
      <c r="N54">
        <v>139585.58599999998</v>
      </c>
      <c r="O54">
        <v>137285.17199999996</v>
      </c>
      <c r="P54">
        <v>134984.75799999994</v>
      </c>
      <c r="Q54">
        <v>132684.34399999992</v>
      </c>
      <c r="R54">
        <v>130383.92999999991</v>
      </c>
      <c r="S54">
        <v>128083.51599999989</v>
      </c>
      <c r="T54">
        <v>125783.10199999987</v>
      </c>
      <c r="U54">
        <v>123482.68799999985</v>
      </c>
      <c r="V54">
        <v>121182.27399999983</v>
      </c>
      <c r="W54">
        <v>118881.85999999981</v>
      </c>
      <c r="X54">
        <v>118881.85999999981</v>
      </c>
      <c r="Y54">
        <v>118881.85999999981</v>
      </c>
      <c r="Z54">
        <v>118881.85999999981</v>
      </c>
      <c r="AA54">
        <v>118881.85999999981</v>
      </c>
      <c r="AB54">
        <v>118881.85999999981</v>
      </c>
    </row>
    <row r="56" spans="2:28" x14ac:dyDescent="0.35">
      <c r="B56" s="39" t="s">
        <v>63</v>
      </c>
      <c r="C56" t="s">
        <v>53</v>
      </c>
      <c r="D56" t="s">
        <v>32</v>
      </c>
      <c r="E56" t="s">
        <v>6</v>
      </c>
      <c r="F56" t="s">
        <v>5</v>
      </c>
      <c r="G56" t="s">
        <v>4</v>
      </c>
      <c r="H56" t="s">
        <v>31</v>
      </c>
    </row>
    <row r="57" spans="2:28" x14ac:dyDescent="0.35">
      <c r="B57">
        <v>2020</v>
      </c>
      <c r="C57">
        <v>342052.6</v>
      </c>
      <c r="D57">
        <v>33322.276000000005</v>
      </c>
      <c r="E57">
        <v>374951.2</v>
      </c>
      <c r="F57">
        <v>287493.59999999998</v>
      </c>
      <c r="G57">
        <v>355878</v>
      </c>
      <c r="H57">
        <v>172063.524</v>
      </c>
      <c r="Q57" s="3"/>
    </row>
    <row r="58" spans="2:28" x14ac:dyDescent="0.35">
      <c r="B58">
        <v>2021</v>
      </c>
      <c r="C58">
        <v>342052.6</v>
      </c>
      <c r="D58">
        <v>33013.848400000003</v>
      </c>
      <c r="E58">
        <v>381836.16000000003</v>
      </c>
      <c r="F58">
        <v>287447.07999999996</v>
      </c>
      <c r="G58">
        <v>350156.04</v>
      </c>
      <c r="H58">
        <v>169045.77160000001</v>
      </c>
      <c r="Q58" s="3"/>
    </row>
    <row r="59" spans="2:28" x14ac:dyDescent="0.35">
      <c r="B59">
        <v>2022</v>
      </c>
      <c r="C59">
        <v>342052.59999999974</v>
      </c>
      <c r="D59">
        <v>32705.420800000004</v>
      </c>
      <c r="E59">
        <v>388721.12000000005</v>
      </c>
      <c r="F59">
        <v>287400.55999999994</v>
      </c>
      <c r="G59">
        <v>344434.07999999996</v>
      </c>
      <c r="H59">
        <v>166028.01920000001</v>
      </c>
      <c r="Q59" s="3"/>
    </row>
    <row r="60" spans="2:28" x14ac:dyDescent="0.35">
      <c r="B60">
        <v>2023</v>
      </c>
      <c r="C60">
        <v>342052.59999999974</v>
      </c>
      <c r="D60">
        <v>32396.993200000004</v>
      </c>
      <c r="E60">
        <v>395606.08000000007</v>
      </c>
      <c r="F60">
        <v>287354.03999999992</v>
      </c>
      <c r="G60">
        <v>338712.11999999994</v>
      </c>
      <c r="H60">
        <v>163010.26680000001</v>
      </c>
      <c r="Q60" s="3"/>
    </row>
    <row r="61" spans="2:28" x14ac:dyDescent="0.35">
      <c r="B61">
        <v>2024</v>
      </c>
      <c r="C61">
        <v>342052.59999999974</v>
      </c>
      <c r="D61">
        <v>32088.565600000005</v>
      </c>
      <c r="E61">
        <v>402491.0400000001</v>
      </c>
      <c r="F61">
        <v>287307.5199999999</v>
      </c>
      <c r="G61">
        <v>332990.15999999992</v>
      </c>
      <c r="H61">
        <v>159992.51440000001</v>
      </c>
      <c r="Q61" s="3"/>
    </row>
    <row r="62" spans="2:28" x14ac:dyDescent="0.35">
      <c r="B62">
        <v>2025</v>
      </c>
      <c r="C62">
        <v>342052.59999999974</v>
      </c>
      <c r="D62">
        <v>31780.138000000006</v>
      </c>
      <c r="E62">
        <v>409376.00000000006</v>
      </c>
      <c r="F62">
        <v>287261</v>
      </c>
      <c r="G62">
        <v>327268.2</v>
      </c>
      <c r="H62">
        <v>156974.76200000002</v>
      </c>
      <c r="Q62" s="3"/>
    </row>
    <row r="63" spans="2:28" x14ac:dyDescent="0.35">
      <c r="B63">
        <v>2026</v>
      </c>
      <c r="C63">
        <v>342052.59999999974</v>
      </c>
      <c r="D63">
        <v>31471.710400000007</v>
      </c>
      <c r="E63">
        <v>402886.46</v>
      </c>
      <c r="F63">
        <v>284772.18</v>
      </c>
      <c r="G63">
        <v>319662.18</v>
      </c>
      <c r="H63">
        <v>153957.00960000002</v>
      </c>
      <c r="Q63" s="3"/>
    </row>
    <row r="64" spans="2:28" x14ac:dyDescent="0.35">
      <c r="B64">
        <v>2027</v>
      </c>
      <c r="C64">
        <v>342052.59999999974</v>
      </c>
      <c r="D64">
        <v>31163.282800000008</v>
      </c>
      <c r="E64">
        <v>396396.92</v>
      </c>
      <c r="F64">
        <v>282283.36</v>
      </c>
      <c r="G64">
        <v>312056.15999999997</v>
      </c>
      <c r="H64">
        <v>150939.25720000002</v>
      </c>
      <c r="Q64" s="3"/>
    </row>
    <row r="65" spans="2:17" x14ac:dyDescent="0.35">
      <c r="B65">
        <v>2028</v>
      </c>
      <c r="C65">
        <v>342052.59999999974</v>
      </c>
      <c r="D65">
        <v>30854.855200000009</v>
      </c>
      <c r="E65">
        <v>389907.37999999995</v>
      </c>
      <c r="F65">
        <v>279794.53999999998</v>
      </c>
      <c r="G65">
        <v>304450.13999999996</v>
      </c>
      <c r="H65">
        <v>147921.50480000002</v>
      </c>
      <c r="Q65" s="3"/>
    </row>
    <row r="66" spans="2:17" x14ac:dyDescent="0.35">
      <c r="B66">
        <v>2029</v>
      </c>
      <c r="C66">
        <v>342052.59999999974</v>
      </c>
      <c r="D66">
        <v>30546.42760000001</v>
      </c>
      <c r="E66">
        <v>383417.83999999991</v>
      </c>
      <c r="F66">
        <v>277305.71999999997</v>
      </c>
      <c r="G66">
        <v>296844.11999999994</v>
      </c>
      <c r="H66">
        <v>144903.75240000003</v>
      </c>
      <c r="Q66" s="3"/>
    </row>
    <row r="67" spans="2:17" x14ac:dyDescent="0.35">
      <c r="B67">
        <v>2030</v>
      </c>
      <c r="C67">
        <v>342052.59999999974</v>
      </c>
      <c r="D67">
        <v>30238</v>
      </c>
      <c r="E67">
        <v>376928.3</v>
      </c>
      <c r="F67">
        <v>274816.89999999997</v>
      </c>
      <c r="G67">
        <v>289238.10000000003</v>
      </c>
      <c r="H67">
        <v>141886</v>
      </c>
      <c r="Q67" s="3"/>
    </row>
    <row r="68" spans="2:17" x14ac:dyDescent="0.35">
      <c r="B68">
        <v>2031</v>
      </c>
      <c r="C68">
        <v>342052.59999999974</v>
      </c>
      <c r="D68">
        <v>29929.572399999997</v>
      </c>
      <c r="E68">
        <v>370438.75999999995</v>
      </c>
      <c r="F68">
        <v>272328.07999999996</v>
      </c>
      <c r="G68">
        <v>281632.08</v>
      </c>
      <c r="H68">
        <v>139585.58599999998</v>
      </c>
      <c r="Q68" s="3"/>
    </row>
    <row r="69" spans="2:17" x14ac:dyDescent="0.35">
      <c r="B69">
        <v>2032</v>
      </c>
      <c r="C69">
        <v>342052.59999999974</v>
      </c>
      <c r="D69">
        <v>29621.144799999995</v>
      </c>
      <c r="E69">
        <v>363949.21999999991</v>
      </c>
      <c r="F69">
        <v>269839.25999999995</v>
      </c>
      <c r="G69">
        <v>274026.06</v>
      </c>
      <c r="H69">
        <v>137285.17199999996</v>
      </c>
      <c r="Q69" s="3"/>
    </row>
    <row r="70" spans="2:17" x14ac:dyDescent="0.35">
      <c r="B70">
        <v>2033</v>
      </c>
      <c r="C70">
        <v>342052.59999999974</v>
      </c>
      <c r="D70">
        <v>29312.717199999992</v>
      </c>
      <c r="E70">
        <v>357459.67999999988</v>
      </c>
      <c r="F70">
        <v>267350.43999999994</v>
      </c>
      <c r="G70">
        <v>266420.03999999998</v>
      </c>
      <c r="H70">
        <v>134984.75799999994</v>
      </c>
      <c r="Q70" s="3"/>
    </row>
    <row r="71" spans="2:17" x14ac:dyDescent="0.35">
      <c r="B71">
        <v>2034</v>
      </c>
      <c r="C71">
        <v>342052.59999999974</v>
      </c>
      <c r="D71">
        <v>29004.289599999989</v>
      </c>
      <c r="E71">
        <v>350970.13999999984</v>
      </c>
      <c r="F71">
        <v>264861.61999999994</v>
      </c>
      <c r="G71">
        <v>258814.02</v>
      </c>
      <c r="H71">
        <v>132684.34399999992</v>
      </c>
      <c r="Q71" s="3"/>
    </row>
    <row r="72" spans="2:17" x14ac:dyDescent="0.35">
      <c r="B72">
        <v>2035</v>
      </c>
      <c r="C72">
        <v>342052.59999999974</v>
      </c>
      <c r="D72">
        <v>28695.861999999986</v>
      </c>
      <c r="E72">
        <v>344480.5999999998</v>
      </c>
      <c r="F72">
        <v>262372.79999999993</v>
      </c>
      <c r="G72">
        <v>251208</v>
      </c>
      <c r="H72">
        <v>130383.92999999991</v>
      </c>
      <c r="Q72" s="3"/>
    </row>
    <row r="73" spans="2:17" x14ac:dyDescent="0.35">
      <c r="B73">
        <v>2036</v>
      </c>
      <c r="C73">
        <v>342052.59999999974</v>
      </c>
      <c r="D73">
        <v>28387.434399999984</v>
      </c>
      <c r="E73">
        <v>337991.05999999976</v>
      </c>
      <c r="F73">
        <v>259883.97999999992</v>
      </c>
      <c r="G73">
        <v>243601.98</v>
      </c>
      <c r="H73">
        <v>128083.51599999989</v>
      </c>
      <c r="Q73" s="3"/>
    </row>
    <row r="74" spans="2:17" x14ac:dyDescent="0.35">
      <c r="B74">
        <v>2037</v>
      </c>
      <c r="C74">
        <v>342052.59999999974</v>
      </c>
      <c r="D74">
        <v>28079.006799999981</v>
      </c>
      <c r="E74">
        <v>331501.51999999973</v>
      </c>
      <c r="F74">
        <v>257395.15999999992</v>
      </c>
      <c r="G74">
        <v>235995.96000000002</v>
      </c>
      <c r="H74">
        <v>125783.10199999987</v>
      </c>
      <c r="Q74" s="3"/>
    </row>
    <row r="75" spans="2:17" x14ac:dyDescent="0.35">
      <c r="B75">
        <v>2038</v>
      </c>
      <c r="C75">
        <v>342052.59999999974</v>
      </c>
      <c r="D75">
        <v>27770.579199999978</v>
      </c>
      <c r="E75">
        <v>325011.97999999969</v>
      </c>
      <c r="F75">
        <v>254906.33999999991</v>
      </c>
      <c r="G75">
        <v>228389.94000000003</v>
      </c>
      <c r="H75">
        <v>123482.68799999985</v>
      </c>
      <c r="Q75" s="3"/>
    </row>
    <row r="76" spans="2:17" x14ac:dyDescent="0.35">
      <c r="B76">
        <v>2039</v>
      </c>
      <c r="C76">
        <v>342052.59999999974</v>
      </c>
      <c r="D76">
        <v>27462.151599999976</v>
      </c>
      <c r="E76">
        <v>318522.43999999965</v>
      </c>
      <c r="F76">
        <v>252417.5199999999</v>
      </c>
      <c r="G76">
        <v>220783.92000000004</v>
      </c>
      <c r="H76">
        <v>121182.27399999983</v>
      </c>
      <c r="Q76" s="3"/>
    </row>
    <row r="77" spans="2:17" x14ac:dyDescent="0.35">
      <c r="B77">
        <v>2040</v>
      </c>
      <c r="C77">
        <v>342052.59999999974</v>
      </c>
      <c r="D77">
        <v>27153.723999999973</v>
      </c>
      <c r="E77">
        <v>312032.89999999962</v>
      </c>
      <c r="F77">
        <v>249928.6999999999</v>
      </c>
      <c r="G77">
        <v>213177.90000000005</v>
      </c>
      <c r="H77">
        <v>118881.85999999981</v>
      </c>
      <c r="Q77" s="3"/>
    </row>
    <row r="78" spans="2:17" x14ac:dyDescent="0.35">
      <c r="B78">
        <f>B77+1</f>
        <v>2041</v>
      </c>
      <c r="C78">
        <v>342052.59999999974</v>
      </c>
      <c r="D78">
        <v>27153.723999999973</v>
      </c>
      <c r="E78">
        <v>312032.89999999962</v>
      </c>
      <c r="F78">
        <v>249928.6999999999</v>
      </c>
      <c r="G78">
        <v>213177.90000000005</v>
      </c>
      <c r="H78">
        <v>118881.85999999981</v>
      </c>
      <c r="Q78" s="3"/>
    </row>
    <row r="79" spans="2:17" x14ac:dyDescent="0.35">
      <c r="B79">
        <f>B78+1</f>
        <v>2042</v>
      </c>
      <c r="C79">
        <v>342052.59999999974</v>
      </c>
      <c r="D79">
        <v>27153.723999999973</v>
      </c>
      <c r="E79">
        <v>312032.89999999962</v>
      </c>
      <c r="F79">
        <v>249928.6999999999</v>
      </c>
      <c r="G79">
        <v>213177.90000000005</v>
      </c>
      <c r="H79">
        <v>118881.85999999981</v>
      </c>
      <c r="Q79" s="3"/>
    </row>
    <row r="80" spans="2:17" x14ac:dyDescent="0.35">
      <c r="B80">
        <f>B79+1</f>
        <v>2043</v>
      </c>
      <c r="C80">
        <v>342052.59999999974</v>
      </c>
      <c r="D80">
        <v>27153.723999999973</v>
      </c>
      <c r="E80">
        <v>312032.89999999962</v>
      </c>
      <c r="F80">
        <v>249928.6999999999</v>
      </c>
      <c r="G80">
        <v>213177.90000000005</v>
      </c>
      <c r="H80">
        <v>118881.85999999981</v>
      </c>
      <c r="Q80" s="3"/>
    </row>
    <row r="81" spans="2:30" x14ac:dyDescent="0.35">
      <c r="B81">
        <f>B80+1</f>
        <v>2044</v>
      </c>
      <c r="C81">
        <v>342052.59999999974</v>
      </c>
      <c r="D81">
        <v>27153.723999999973</v>
      </c>
      <c r="E81">
        <v>312032.89999999962</v>
      </c>
      <c r="F81">
        <v>249928.6999999999</v>
      </c>
      <c r="G81">
        <v>213177.90000000005</v>
      </c>
      <c r="H81">
        <v>118881.85999999981</v>
      </c>
      <c r="Q81" s="3"/>
    </row>
    <row r="82" spans="2:30" x14ac:dyDescent="0.35">
      <c r="B82">
        <f>B81+1</f>
        <v>2045</v>
      </c>
      <c r="C82">
        <v>342052.59999999974</v>
      </c>
      <c r="D82">
        <v>27153.723999999973</v>
      </c>
      <c r="E82">
        <v>312032.89999999962</v>
      </c>
      <c r="F82">
        <v>249928.6999999999</v>
      </c>
      <c r="G82">
        <v>213177.90000000005</v>
      </c>
      <c r="H82">
        <v>118881.85999999981</v>
      </c>
      <c r="Q82" s="3"/>
    </row>
    <row r="85" spans="2:30" x14ac:dyDescent="0.35">
      <c r="B85" s="42"/>
      <c r="C85" s="187" t="s">
        <v>64</v>
      </c>
      <c r="D85" s="187"/>
      <c r="E85" s="187"/>
      <c r="F85" s="187"/>
      <c r="G85" s="187"/>
      <c r="H85" s="187" t="s">
        <v>65</v>
      </c>
      <c r="I85" s="187"/>
      <c r="J85" s="187"/>
      <c r="K85" s="188" t="s">
        <v>66</v>
      </c>
      <c r="L85" s="189"/>
      <c r="M85" s="189"/>
      <c r="N85" s="190"/>
      <c r="O85" s="187" t="s">
        <v>67</v>
      </c>
      <c r="P85" s="187"/>
      <c r="Q85" s="187"/>
      <c r="R85" s="187"/>
      <c r="S85" s="187"/>
      <c r="T85" s="187"/>
      <c r="U85" s="187" t="s">
        <v>68</v>
      </c>
      <c r="V85" s="187"/>
      <c r="W85" s="187"/>
      <c r="X85" s="187"/>
      <c r="Y85" s="187"/>
      <c r="Z85" s="187" t="s">
        <v>69</v>
      </c>
      <c r="AA85" s="187"/>
      <c r="AB85" s="187"/>
      <c r="AC85" s="187"/>
      <c r="AD85" s="187"/>
    </row>
    <row r="86" spans="2:30" x14ac:dyDescent="0.35">
      <c r="B86" s="42" t="s">
        <v>78</v>
      </c>
      <c r="C86" s="42" t="s">
        <v>70</v>
      </c>
      <c r="D86" s="42" t="s">
        <v>71</v>
      </c>
      <c r="E86" s="42" t="s">
        <v>72</v>
      </c>
      <c r="F86" s="42" t="s">
        <v>73</v>
      </c>
      <c r="G86" s="42" t="s">
        <v>74</v>
      </c>
      <c r="H86" s="42" t="s">
        <v>70</v>
      </c>
      <c r="I86" s="42" t="s">
        <v>72</v>
      </c>
      <c r="J86" s="42" t="s">
        <v>74</v>
      </c>
      <c r="K86" s="42" t="s">
        <v>70</v>
      </c>
      <c r="L86" s="42" t="s">
        <v>72</v>
      </c>
      <c r="M86" s="42" t="s">
        <v>74</v>
      </c>
      <c r="N86" s="42" t="s">
        <v>76</v>
      </c>
      <c r="O86" s="42" t="s">
        <v>70</v>
      </c>
      <c r="P86" s="42" t="s">
        <v>77</v>
      </c>
      <c r="Q86" s="42" t="s">
        <v>72</v>
      </c>
      <c r="R86" s="42" t="s">
        <v>73</v>
      </c>
      <c r="S86" s="42" t="s">
        <v>74</v>
      </c>
      <c r="T86" s="42" t="s">
        <v>71</v>
      </c>
      <c r="U86" s="42" t="s">
        <v>70</v>
      </c>
      <c r="V86" s="42" t="s">
        <v>77</v>
      </c>
      <c r="W86" s="42" t="s">
        <v>71</v>
      </c>
      <c r="X86" s="42" t="s">
        <v>72</v>
      </c>
      <c r="Y86" s="42" t="s">
        <v>74</v>
      </c>
      <c r="Z86" s="42" t="s">
        <v>70</v>
      </c>
      <c r="AA86" s="42" t="s">
        <v>77</v>
      </c>
      <c r="AB86" s="42" t="s">
        <v>72</v>
      </c>
      <c r="AC86" s="42" t="s">
        <v>74</v>
      </c>
      <c r="AD86" s="42" t="s">
        <v>71</v>
      </c>
    </row>
    <row r="87" spans="2:30" x14ac:dyDescent="0.3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</row>
    <row r="88" spans="2:30" x14ac:dyDescent="0.35">
      <c r="B88" s="41">
        <v>2020</v>
      </c>
      <c r="C88" s="33">
        <v>1.70549842494939E-2</v>
      </c>
      <c r="D88" s="33">
        <v>9.7543505748386578E-3</v>
      </c>
      <c r="E88" s="33">
        <v>0.95730713852405691</v>
      </c>
      <c r="F88" s="33">
        <v>6.8211751120076589E-3</v>
      </c>
      <c r="G88" s="33">
        <v>9.0623515396028396E-3</v>
      </c>
      <c r="H88" s="33">
        <v>0.18937595979338262</v>
      </c>
      <c r="I88" s="33">
        <v>0.7631927963143933</v>
      </c>
      <c r="J88" s="33">
        <v>4.7431243892223918E-2</v>
      </c>
      <c r="K88" s="33">
        <v>3.0707196029776736E-2</v>
      </c>
      <c r="L88" s="33">
        <v>0.93114143920595527</v>
      </c>
      <c r="M88" s="33">
        <v>3.8151364764268003E-2</v>
      </c>
      <c r="N88" s="33">
        <v>0</v>
      </c>
      <c r="O88" s="33">
        <v>0.38632686084142392</v>
      </c>
      <c r="P88" s="33">
        <v>0.11933656957928801</v>
      </c>
      <c r="Q88" s="33">
        <v>6.7556634304207136E-2</v>
      </c>
      <c r="R88" s="33">
        <v>6.1893203883495153E-2</v>
      </c>
      <c r="S88" s="33">
        <v>0.34182847896440127</v>
      </c>
      <c r="T88" s="33">
        <v>2.305825242718448E-2</v>
      </c>
      <c r="U88" s="33">
        <v>0.18496732026143792</v>
      </c>
      <c r="V88" s="33">
        <v>3.9215686274509776E-2</v>
      </c>
      <c r="W88" s="33">
        <v>0.20326797385620926</v>
      </c>
      <c r="X88" s="33">
        <v>5.3267973856209141E-2</v>
      </c>
      <c r="Y88" s="33">
        <v>0.51928104575163403</v>
      </c>
      <c r="Z88" s="33">
        <v>0.4711211778029446</v>
      </c>
      <c r="AA88" s="33">
        <v>3.1143827859569689E-2</v>
      </c>
      <c r="AB88" s="33">
        <v>0.12684031710079277</v>
      </c>
      <c r="AC88" s="33">
        <v>0.35447338618346547</v>
      </c>
      <c r="AD88" s="33">
        <v>1.6421291053227583E-2</v>
      </c>
    </row>
    <row r="89" spans="2:30" x14ac:dyDescent="0.35">
      <c r="B89" s="41">
        <v>2021</v>
      </c>
      <c r="C89" s="33">
        <v>1.7054984249493865E-2</v>
      </c>
      <c r="D89" s="33">
        <v>9.7543505748386578E-3</v>
      </c>
      <c r="E89" s="33">
        <v>0.95730713852405691</v>
      </c>
      <c r="F89" s="33">
        <v>6.8211751120076589E-3</v>
      </c>
      <c r="G89" s="33">
        <v>9.0623515396028396E-3</v>
      </c>
      <c r="H89" s="33">
        <v>0.18937595979338265</v>
      </c>
      <c r="I89" s="33">
        <v>0.76319279631439341</v>
      </c>
      <c r="J89" s="33">
        <v>4.7431243892223918E-2</v>
      </c>
      <c r="K89" s="33">
        <v>3.6245126705653032E-2</v>
      </c>
      <c r="L89" s="33">
        <v>0.92468226120857688</v>
      </c>
      <c r="M89" s="33">
        <v>3.8255360623781702E-2</v>
      </c>
      <c r="N89" s="33">
        <f>N88+0.001</f>
        <v>1E-3</v>
      </c>
      <c r="O89" s="33">
        <v>0.38655122188056323</v>
      </c>
      <c r="P89" s="33">
        <v>0.12016507525489563</v>
      </c>
      <c r="Q89" s="33">
        <v>6.5949182715649798E-2</v>
      </c>
      <c r="R89" s="33">
        <v>6.3521605437773118E-2</v>
      </c>
      <c r="S89" s="33">
        <v>0.33937530344715972</v>
      </c>
      <c r="T89" s="33">
        <v>2.4437611263958568E-2</v>
      </c>
      <c r="U89" s="33">
        <v>0.18965059120499536</v>
      </c>
      <c r="V89" s="33">
        <v>3.9457951375049802E-2</v>
      </c>
      <c r="W89" s="33">
        <v>0.20751959612063245</v>
      </c>
      <c r="X89" s="33">
        <v>5.0285638368539928E-2</v>
      </c>
      <c r="Y89" s="33">
        <v>0.51308622293078265</v>
      </c>
      <c r="Z89" s="33">
        <v>0.47437355674351389</v>
      </c>
      <c r="AA89" s="33">
        <v>3.0586731058964235E-2</v>
      </c>
      <c r="AB89" s="33">
        <v>0.12653586963614924</v>
      </c>
      <c r="AC89" s="33">
        <v>0.3447761035391847</v>
      </c>
      <c r="AD89" s="33">
        <v>2.3727739022187996E-2</v>
      </c>
    </row>
    <row r="90" spans="2:30" x14ac:dyDescent="0.35">
      <c r="B90" s="41">
        <v>2022</v>
      </c>
      <c r="C90" s="33">
        <v>1.7054984249493865E-2</v>
      </c>
      <c r="D90" s="33">
        <v>9.7543505748386578E-3</v>
      </c>
      <c r="E90" s="33">
        <v>0.95730713852405691</v>
      </c>
      <c r="F90" s="33">
        <v>6.8211751120076589E-3</v>
      </c>
      <c r="G90" s="33">
        <v>9.0623515396028396E-3</v>
      </c>
      <c r="H90" s="33">
        <v>0.18937595979338268</v>
      </c>
      <c r="I90" s="33">
        <v>0.76319279631439341</v>
      </c>
      <c r="J90" s="33">
        <v>4.7431243892223918E-2</v>
      </c>
      <c r="K90" s="33">
        <v>4.1586883676400156E-2</v>
      </c>
      <c r="L90" s="33">
        <v>0.91841646720919079</v>
      </c>
      <c r="M90" s="33">
        <v>3.8355672570607985E-2</v>
      </c>
      <c r="N90" s="33">
        <f t="shared" ref="N90:N98" si="1">N89+0.001</f>
        <v>2E-3</v>
      </c>
      <c r="O90" s="33">
        <v>0.38677565555195864</v>
      </c>
      <c r="P90" s="33">
        <v>0.12099384914211724</v>
      </c>
      <c r="Q90" s="33">
        <v>6.4341210747814848E-2</v>
      </c>
      <c r="R90" s="33">
        <v>6.5150534153447737E-2</v>
      </c>
      <c r="S90" s="33">
        <v>0.33692133376497252</v>
      </c>
      <c r="T90" s="33">
        <v>2.5817416639689204E-2</v>
      </c>
      <c r="U90" s="33">
        <v>0.19448946515397086</v>
      </c>
      <c r="V90" s="33">
        <v>3.9708265802269035E-2</v>
      </c>
      <c r="W90" s="33">
        <v>0.21191247974068075</v>
      </c>
      <c r="X90" s="33">
        <v>4.7204213938411677E-2</v>
      </c>
      <c r="Y90" s="33">
        <v>0.50668557536466785</v>
      </c>
      <c r="Z90" s="33">
        <v>0.47774416722597474</v>
      </c>
      <c r="AA90" s="33">
        <v>3.0009382493443912E-2</v>
      </c>
      <c r="AB90" s="33">
        <v>0.12622035479779939</v>
      </c>
      <c r="AC90" s="33">
        <v>0.33472630210784304</v>
      </c>
      <c r="AD90" s="33">
        <v>3.1299793374938899E-2</v>
      </c>
    </row>
    <row r="91" spans="2:30" x14ac:dyDescent="0.35">
      <c r="B91" s="41">
        <v>2023</v>
      </c>
      <c r="C91" s="33">
        <v>1.7054984249493865E-2</v>
      </c>
      <c r="D91" s="33">
        <v>9.7543505748386578E-3</v>
      </c>
      <c r="E91" s="33">
        <v>0.95730713852405691</v>
      </c>
      <c r="F91" s="33">
        <v>6.8211751120076589E-3</v>
      </c>
      <c r="G91" s="33">
        <v>9.0623515396028396E-3</v>
      </c>
      <c r="H91" s="33">
        <v>0.18937595979338268</v>
      </c>
      <c r="I91" s="33">
        <v>0.76319279631439341</v>
      </c>
      <c r="J91" s="33">
        <v>4.7431243892223918E-2</v>
      </c>
      <c r="K91" s="33">
        <v>4.6742709313264269E-2</v>
      </c>
      <c r="L91" s="33">
        <v>0.91233396048918136</v>
      </c>
      <c r="M91" s="33">
        <v>3.8452492944496763E-2</v>
      </c>
      <c r="N91" s="33">
        <f t="shared" si="1"/>
        <v>3.0000000000000001E-3</v>
      </c>
      <c r="O91" s="33">
        <v>0.38700016189088565</v>
      </c>
      <c r="P91" s="33">
        <v>0.12182289137121587</v>
      </c>
      <c r="Q91" s="33">
        <v>6.2732718147968283E-2</v>
      </c>
      <c r="R91" s="33">
        <v>6.6779990286546895E-2</v>
      </c>
      <c r="S91" s="33">
        <v>0.33446656953213538</v>
      </c>
      <c r="T91" s="33">
        <v>2.719766877124815E-2</v>
      </c>
      <c r="U91" s="33">
        <v>0.19949182804559817</v>
      </c>
      <c r="V91" s="33">
        <v>3.996703749484961E-2</v>
      </c>
      <c r="W91" s="33">
        <v>0.21645378382090374</v>
      </c>
      <c r="X91" s="33">
        <v>4.4018678752918566E-2</v>
      </c>
      <c r="Y91" s="33">
        <v>0.50006867188573023</v>
      </c>
      <c r="Z91" s="33">
        <v>0.48123957558862551</v>
      </c>
      <c r="AA91" s="33">
        <v>2.9410657421358236E-2</v>
      </c>
      <c r="AB91" s="33">
        <v>0.12589315792641742</v>
      </c>
      <c r="AC91" s="33">
        <v>0.32430440371617719</v>
      </c>
      <c r="AD91" s="33">
        <v>3.9152205347421566E-2</v>
      </c>
    </row>
    <row r="92" spans="2:30" x14ac:dyDescent="0.35">
      <c r="B92" s="41">
        <v>2024</v>
      </c>
      <c r="C92" s="33">
        <v>1.7054984249493865E-2</v>
      </c>
      <c r="D92" s="33">
        <v>9.7543505748386578E-3</v>
      </c>
      <c r="E92" s="33">
        <v>0.95730713852405691</v>
      </c>
      <c r="F92" s="33">
        <v>6.8211751120076589E-3</v>
      </c>
      <c r="G92" s="33">
        <v>9.0623515396028396E-3</v>
      </c>
      <c r="H92" s="33">
        <v>0.18937595979338268</v>
      </c>
      <c r="I92" s="33">
        <v>0.76319279631439341</v>
      </c>
      <c r="J92" s="33">
        <v>4.7431243892223918E-2</v>
      </c>
      <c r="K92" s="33">
        <v>5.1722145168746986E-2</v>
      </c>
      <c r="L92" s="33">
        <v>0.90642533518261659</v>
      </c>
      <c r="M92" s="33">
        <v>3.854600092464177E-2</v>
      </c>
      <c r="N92" s="33">
        <f t="shared" si="1"/>
        <v>4.0000000000000001E-3</v>
      </c>
      <c r="O92" s="33">
        <v>0.38722474093264264</v>
      </c>
      <c r="P92" s="33">
        <v>0.12265220207253896</v>
      </c>
      <c r="Q92" s="33">
        <v>6.1123704663212451E-2</v>
      </c>
      <c r="R92" s="33">
        <v>6.8409974093264284E-2</v>
      </c>
      <c r="S92" s="33">
        <v>0.33201101036269437</v>
      </c>
      <c r="T92" s="33">
        <v>2.8578367875647631E-2</v>
      </c>
      <c r="U92" s="33">
        <v>0.20466610785135519</v>
      </c>
      <c r="V92" s="33">
        <v>4.0234702430846613E-2</v>
      </c>
      <c r="W92" s="33">
        <v>0.22115115954177142</v>
      </c>
      <c r="X92" s="33">
        <v>4.0723665828443709E-2</v>
      </c>
      <c r="Y92" s="33">
        <v>0.49322436434758338</v>
      </c>
      <c r="Z92" s="33">
        <v>0.48486684358252119</v>
      </c>
      <c r="AA92" s="33">
        <v>2.8789346242291208E-2</v>
      </c>
      <c r="AB92" s="33">
        <v>0.1255536179882665</v>
      </c>
      <c r="AC92" s="33">
        <v>0.31348935306983305</v>
      </c>
      <c r="AD92" s="33">
        <v>4.7300839117087878E-2</v>
      </c>
    </row>
    <row r="93" spans="2:30" x14ac:dyDescent="0.35">
      <c r="B93" s="41">
        <v>2025</v>
      </c>
      <c r="C93" s="33">
        <v>1.7054984249493865E-2</v>
      </c>
      <c r="D93" s="33">
        <v>9.7543505748386578E-3</v>
      </c>
      <c r="E93" s="33">
        <v>0.95730713852405691</v>
      </c>
      <c r="F93" s="33">
        <v>6.8211751120076589E-3</v>
      </c>
      <c r="G93" s="33">
        <v>9.0623515396028396E-3</v>
      </c>
      <c r="H93" s="33">
        <v>0.18937595979338268</v>
      </c>
      <c r="I93" s="33">
        <v>0.7631927963143933</v>
      </c>
      <c r="J93" s="33">
        <v>4.7431243892223918E-2</v>
      </c>
      <c r="K93" s="33">
        <v>5.6534090909090749E-2</v>
      </c>
      <c r="L93" s="33">
        <v>0.90068181818181814</v>
      </c>
      <c r="M93" s="33">
        <v>3.8636363636363712E-2</v>
      </c>
      <c r="N93" s="33">
        <f t="shared" si="1"/>
        <v>5.0000000000000001E-3</v>
      </c>
      <c r="O93" s="33">
        <v>0.38744939271255063</v>
      </c>
      <c r="P93" s="33">
        <v>0.12348178137651825</v>
      </c>
      <c r="Q93" s="33">
        <v>5.9514170040485835E-2</v>
      </c>
      <c r="R93" s="33">
        <v>7.0040485829959517E-2</v>
      </c>
      <c r="S93" s="33">
        <v>0.32955465587044541</v>
      </c>
      <c r="T93" s="33">
        <v>2.9959514170040426E-2</v>
      </c>
      <c r="U93" s="33">
        <v>0.21002132196162046</v>
      </c>
      <c r="V93" s="33">
        <v>4.0511727078891273E-2</v>
      </c>
      <c r="W93" s="33">
        <v>0.22601279317697223</v>
      </c>
      <c r="X93" s="33">
        <v>3.7313432835820892E-2</v>
      </c>
      <c r="Y93" s="33">
        <v>0.48614072494669508</v>
      </c>
      <c r="Z93" s="33">
        <v>0.48863357599164592</v>
      </c>
      <c r="AA93" s="33">
        <v>2.8144146340248744E-2</v>
      </c>
      <c r="AB93" s="33">
        <v>0.12520102311758763</v>
      </c>
      <c r="AC93" s="33">
        <v>0.30225847576921278</v>
      </c>
      <c r="AD93" s="33">
        <v>5.5762778781304694E-2</v>
      </c>
    </row>
    <row r="94" spans="2:30" x14ac:dyDescent="0.35">
      <c r="B94" s="41">
        <v>2026</v>
      </c>
      <c r="C94" s="33">
        <v>1.7054984249493865E-2</v>
      </c>
      <c r="D94" s="33">
        <v>9.7543505748386578E-3</v>
      </c>
      <c r="E94" s="33">
        <v>0.95730713852405691</v>
      </c>
      <c r="F94" s="33">
        <v>6.8211751120076589E-3</v>
      </c>
      <c r="G94" s="33">
        <v>9.0623515396028396E-3</v>
      </c>
      <c r="H94" s="33">
        <v>0.18937595979338268</v>
      </c>
      <c r="I94" s="33">
        <v>0.7631927963143933</v>
      </c>
      <c r="J94" s="33">
        <v>4.7431243892223918E-2</v>
      </c>
      <c r="K94" s="33">
        <v>6.8356330465908291E-2</v>
      </c>
      <c r="L94" s="33">
        <v>0.87772495814329421</v>
      </c>
      <c r="M94" s="33">
        <v>4.8611512037411299E-2</v>
      </c>
      <c r="N94" s="33">
        <f t="shared" si="1"/>
        <v>6.0000000000000001E-3</v>
      </c>
      <c r="O94" s="33">
        <v>0.39026382422608841</v>
      </c>
      <c r="P94" s="33">
        <v>0.12162051784693297</v>
      </c>
      <c r="Q94" s="33">
        <v>5.8564077432001968E-2</v>
      </c>
      <c r="R94" s="33">
        <v>6.7630482724822361E-2</v>
      </c>
      <c r="S94" s="33">
        <v>0.32875929102344204</v>
      </c>
      <c r="T94" s="33">
        <v>3.316180674671234E-2</v>
      </c>
      <c r="U94" s="33">
        <v>0.21290838972567852</v>
      </c>
      <c r="V94" s="33">
        <v>4.2057774867205154E-2</v>
      </c>
      <c r="W94" s="33">
        <v>0.23917630793858691</v>
      </c>
      <c r="X94" s="33">
        <v>3.2598413737902933E-2</v>
      </c>
      <c r="Y94" s="33">
        <v>0.47325911373062651</v>
      </c>
      <c r="Z94" s="33">
        <v>0.49254797385357885</v>
      </c>
      <c r="AA94" s="33">
        <v>2.7473652967542918E-2</v>
      </c>
      <c r="AB94" s="33">
        <v>0.12483460563473953</v>
      </c>
      <c r="AC94" s="33">
        <v>0.29058731962690665</v>
      </c>
      <c r="AD94" s="33">
        <v>6.455644791723171E-2</v>
      </c>
    </row>
    <row r="95" spans="2:30" x14ac:dyDescent="0.35">
      <c r="B95" s="41">
        <v>2027</v>
      </c>
      <c r="C95" s="33">
        <v>1.7054984249493865E-2</v>
      </c>
      <c r="D95" s="33">
        <v>9.7543505748386578E-3</v>
      </c>
      <c r="E95" s="33">
        <v>0.95730713852405691</v>
      </c>
      <c r="F95" s="33">
        <v>6.8211751120076589E-3</v>
      </c>
      <c r="G95" s="33">
        <v>9.0623515396028396E-3</v>
      </c>
      <c r="H95" s="33">
        <v>0.18937595979338268</v>
      </c>
      <c r="I95" s="33">
        <v>0.7631927963143933</v>
      </c>
      <c r="J95" s="33">
        <v>4.7431243892223918E-2</v>
      </c>
      <c r="K95" s="33">
        <v>8.056566130735815E-2</v>
      </c>
      <c r="L95" s="33">
        <v>0.85404917263232005</v>
      </c>
      <c r="M95" s="33">
        <v>5.8913273090012971E-2</v>
      </c>
      <c r="N95" s="33">
        <f t="shared" si="1"/>
        <v>7.0000000000000001E-3</v>
      </c>
      <c r="O95" s="33">
        <v>0.39312788398154253</v>
      </c>
      <c r="P95" s="33">
        <v>0.11972643375082402</v>
      </c>
      <c r="Q95" s="33">
        <v>5.7597231377719188E-2</v>
      </c>
      <c r="R95" s="33">
        <v>6.51779828609097E-2</v>
      </c>
      <c r="S95" s="33">
        <v>0.32794990112063288</v>
      </c>
      <c r="T95" s="33">
        <v>3.642056690837172E-2</v>
      </c>
      <c r="U95" s="33">
        <v>0.21593619558735835</v>
      </c>
      <c r="V95" s="33">
        <v>4.3679189028026283E-2</v>
      </c>
      <c r="W95" s="33">
        <v>0.25298151460942159</v>
      </c>
      <c r="X95" s="33">
        <v>2.765354800238521E-2</v>
      </c>
      <c r="Y95" s="33">
        <v>0.45974955277280871</v>
      </c>
      <c r="Z95" s="33">
        <v>0.49661889406445581</v>
      </c>
      <c r="AA95" s="33">
        <v>2.6776349035116557E-2</v>
      </c>
      <c r="AB95" s="33">
        <v>0.12445353646671978</v>
      </c>
      <c r="AC95" s="33">
        <v>0.27844947694973105</v>
      </c>
      <c r="AD95" s="33">
        <v>7.3701743483976359E-2</v>
      </c>
    </row>
    <row r="96" spans="2:30" x14ac:dyDescent="0.35">
      <c r="B96" s="41">
        <v>2028</v>
      </c>
      <c r="C96" s="33">
        <v>1.7054984249493865E-2</v>
      </c>
      <c r="D96" s="33">
        <v>9.7543505748386578E-3</v>
      </c>
      <c r="E96" s="33">
        <v>0.95730713852405691</v>
      </c>
      <c r="F96" s="33">
        <v>6.8211751120076589E-3</v>
      </c>
      <c r="G96" s="33">
        <v>9.0623515396028396E-3</v>
      </c>
      <c r="H96" s="33">
        <v>0.1893759597933827</v>
      </c>
      <c r="I96" s="33">
        <v>0.7631927963143933</v>
      </c>
      <c r="J96" s="33">
        <v>4.7431243892223918E-2</v>
      </c>
      <c r="K96" s="33">
        <v>9.3181411441865883E-2</v>
      </c>
      <c r="L96" s="33">
        <v>0.82961856469605677</v>
      </c>
      <c r="M96" s="33">
        <v>6.9557955019984546E-2</v>
      </c>
      <c r="N96" s="33">
        <f t="shared" si="1"/>
        <v>8.0000000000000002E-3</v>
      </c>
      <c r="O96" s="33">
        <v>0.39604289633385981</v>
      </c>
      <c r="P96" s="33">
        <v>0.11779865325463466</v>
      </c>
      <c r="Q96" s="33">
        <v>5.6613184803391815E-2</v>
      </c>
      <c r="R96" s="33">
        <v>6.2681852190539553E-2</v>
      </c>
      <c r="S96" s="33">
        <v>0.32712611189625085</v>
      </c>
      <c r="T96" s="33">
        <v>3.9737301521323397E-2</v>
      </c>
      <c r="U96" s="33">
        <v>0.21911528764611501</v>
      </c>
      <c r="V96" s="33">
        <v>4.5381618152647324E-2</v>
      </c>
      <c r="W96" s="33">
        <v>0.26747650699060288</v>
      </c>
      <c r="X96" s="33">
        <v>2.2461608984643593E-2</v>
      </c>
      <c r="Y96" s="33">
        <v>0.44556497822599145</v>
      </c>
      <c r="Z96" s="33">
        <v>0.5008559162799493</v>
      </c>
      <c r="AA96" s="33">
        <v>2.6050593653139918E-2</v>
      </c>
      <c r="AB96" s="33">
        <v>0.12405691888472314</v>
      </c>
      <c r="AC96" s="33">
        <v>0.26581638506697991</v>
      </c>
      <c r="AD96" s="33">
        <v>8.3220186115207234E-2</v>
      </c>
    </row>
    <row r="97" spans="2:30" x14ac:dyDescent="0.35">
      <c r="B97" s="41">
        <v>2029</v>
      </c>
      <c r="C97" s="33">
        <v>1.7054984249493865E-2</v>
      </c>
      <c r="D97" s="33">
        <v>9.7543505748386578E-3</v>
      </c>
      <c r="E97" s="33">
        <v>0.95730713852405691</v>
      </c>
      <c r="F97" s="33">
        <v>6.8211751120076589E-3</v>
      </c>
      <c r="G97" s="33">
        <v>9.0623515396028396E-3</v>
      </c>
      <c r="H97" s="33">
        <v>0.1893759597933827</v>
      </c>
      <c r="I97" s="33">
        <v>0.7631927963143933</v>
      </c>
      <c r="J97" s="33">
        <v>4.7431243892223918E-2</v>
      </c>
      <c r="K97" s="33">
        <v>0.10622421742295547</v>
      </c>
      <c r="L97" s="33">
        <v>0.8043948070856588</v>
      </c>
      <c r="M97" s="33">
        <v>8.0562970152875571E-2</v>
      </c>
      <c r="N97" s="33">
        <f t="shared" si="1"/>
        <v>9.0000000000000011E-3</v>
      </c>
      <c r="O97" s="33">
        <v>0.3990102331823519</v>
      </c>
      <c r="P97" s="33">
        <v>0.11583626908236877</v>
      </c>
      <c r="Q97" s="33">
        <v>5.5611474584801215E-2</v>
      </c>
      <c r="R97" s="33">
        <v>6.0140915953699067E-2</v>
      </c>
      <c r="S97" s="33">
        <v>0.32628753564838126</v>
      </c>
      <c r="T97" s="33">
        <v>4.3113571548397844E-2</v>
      </c>
      <c r="U97" s="33">
        <v>0.22245729509481268</v>
      </c>
      <c r="V97" s="33">
        <v>4.7171289766494359E-2</v>
      </c>
      <c r="W97" s="33">
        <v>0.28271430810217846</v>
      </c>
      <c r="X97" s="33">
        <v>1.7003604450713052E-2</v>
      </c>
      <c r="Y97" s="33">
        <v>0.43065350258580182</v>
      </c>
      <c r="Z97" s="33">
        <v>0.50526941817589099</v>
      </c>
      <c r="AA97" s="33">
        <v>2.5294609239692414E-2</v>
      </c>
      <c r="AB97" s="33">
        <v>0.12364378145917342</v>
      </c>
      <c r="AC97" s="33">
        <v>0.25265710193359292</v>
      </c>
      <c r="AD97" s="33">
        <v>9.3135089191649589E-2</v>
      </c>
    </row>
    <row r="98" spans="2:30" x14ac:dyDescent="0.35">
      <c r="B98" s="41">
        <v>2030</v>
      </c>
      <c r="C98" s="33">
        <v>1.7054984249493865E-2</v>
      </c>
      <c r="D98" s="33">
        <v>9.7543505748386578E-3</v>
      </c>
      <c r="E98" s="33">
        <v>0.95730713852405691</v>
      </c>
      <c r="F98" s="33">
        <v>6.8211751120076589E-3</v>
      </c>
      <c r="G98" s="33">
        <v>9.0623515396028396E-3</v>
      </c>
      <c r="H98" s="33">
        <v>0.18937595979338265</v>
      </c>
      <c r="I98" s="33">
        <v>0.76319279631439352</v>
      </c>
      <c r="J98" s="33">
        <v>4.7431243892223918E-2</v>
      </c>
      <c r="K98" s="33">
        <v>0.11971613699475457</v>
      </c>
      <c r="L98" s="33">
        <v>0.77833693304535645</v>
      </c>
      <c r="M98" s="33">
        <v>9.1946929959888929E-2</v>
      </c>
      <c r="N98" s="33">
        <f t="shared" si="1"/>
        <v>1.0000000000000002E-2</v>
      </c>
      <c r="O98" s="33">
        <v>0.40203131612357179</v>
      </c>
      <c r="P98" s="33">
        <v>0.11383834109183248</v>
      </c>
      <c r="Q98" s="33">
        <v>5.4591620820990262E-2</v>
      </c>
      <c r="R98" s="33">
        <v>5.7553956834532384E-2</v>
      </c>
      <c r="S98" s="33">
        <v>0.3254337706305544</v>
      </c>
      <c r="T98" s="33">
        <v>4.6550994498518745E-2</v>
      </c>
      <c r="U98" s="33">
        <v>0.22597507036590264</v>
      </c>
      <c r="V98" s="33">
        <v>4.9055086449537683E-2</v>
      </c>
      <c r="W98" s="33">
        <v>0.29875351829513463</v>
      </c>
      <c r="X98" s="33">
        <v>1.1258544431041415E-2</v>
      </c>
      <c r="Y98" s="33">
        <v>0.41495778045838355</v>
      </c>
      <c r="Z98" s="33">
        <v>0.50987066031313821</v>
      </c>
      <c r="AA98" s="33">
        <v>2.4506466984343053E-2</v>
      </c>
      <c r="AB98" s="33">
        <v>0.12321307011572498</v>
      </c>
      <c r="AC98" s="33">
        <v>0.23893805309734514</v>
      </c>
      <c r="AD98" s="33">
        <v>0.10347174948944858</v>
      </c>
    </row>
    <row r="99" spans="2:30" x14ac:dyDescent="0.35">
      <c r="B99" s="41">
        <v>2031</v>
      </c>
      <c r="C99" s="33">
        <v>1.7054984249493865E-2</v>
      </c>
      <c r="D99" s="33">
        <v>9.7543505748386578E-3</v>
      </c>
      <c r="E99" s="33">
        <v>0.95730713852405691</v>
      </c>
      <c r="F99" s="33">
        <v>6.8211751120076589E-3</v>
      </c>
      <c r="G99" s="33">
        <v>9.0623515396028396E-3</v>
      </c>
      <c r="H99" s="33">
        <v>0.18937595979338265</v>
      </c>
      <c r="I99" s="33">
        <v>0.76319279631439496</v>
      </c>
      <c r="J99" s="33">
        <v>4.7431243892223918E-2</v>
      </c>
      <c r="K99" s="33">
        <v>0.11971613699475457</v>
      </c>
      <c r="L99" s="33">
        <v>0.77833693304535645</v>
      </c>
      <c r="M99" s="33">
        <v>9.1946929959888929E-2</v>
      </c>
      <c r="N99" s="33">
        <v>0.01</v>
      </c>
      <c r="O99" s="33">
        <v>0.40203131612357179</v>
      </c>
      <c r="P99" s="33">
        <v>0.11383834109183248</v>
      </c>
      <c r="Q99" s="33">
        <v>5.4591620820990262E-2</v>
      </c>
      <c r="R99" s="33">
        <v>5.7553956834532384E-2</v>
      </c>
      <c r="S99" s="33">
        <v>0.3254337706305544</v>
      </c>
      <c r="T99" s="33">
        <v>4.6550994498518745E-2</v>
      </c>
      <c r="U99" s="33">
        <v>0.22597507036590264</v>
      </c>
      <c r="V99" s="33">
        <v>4.9055086449537683E-2</v>
      </c>
      <c r="W99" s="33">
        <v>0.29875351829513463</v>
      </c>
      <c r="X99" s="33">
        <v>1.1258544431041415E-2</v>
      </c>
      <c r="Y99" s="33">
        <v>0.41495778045838355</v>
      </c>
      <c r="Z99" s="33">
        <v>0.50987066031313821</v>
      </c>
      <c r="AA99" s="33">
        <v>2.4506466984343053E-2</v>
      </c>
      <c r="AB99" s="33">
        <v>0.12321307011572498</v>
      </c>
      <c r="AC99" s="33">
        <v>0.23893805309734514</v>
      </c>
      <c r="AD99" s="33">
        <v>0.10347174948944858</v>
      </c>
    </row>
    <row r="100" spans="2:30" x14ac:dyDescent="0.35">
      <c r="B100" s="41">
        <v>2032</v>
      </c>
      <c r="C100" s="33">
        <v>1.7054984249493865E-2</v>
      </c>
      <c r="D100" s="33">
        <v>9.7543505748386578E-3</v>
      </c>
      <c r="E100" s="33">
        <v>0.95730713852405691</v>
      </c>
      <c r="F100" s="33">
        <v>6.8211751120076589E-3</v>
      </c>
      <c r="G100" s="33">
        <v>9.0623515396028396E-3</v>
      </c>
      <c r="H100" s="33">
        <v>0.18937595979338265</v>
      </c>
      <c r="I100" s="33">
        <v>0.76319279631439496</v>
      </c>
      <c r="J100" s="33">
        <v>4.7431243892223918E-2</v>
      </c>
      <c r="K100" s="33">
        <v>0.11971613699475457</v>
      </c>
      <c r="L100" s="33">
        <v>0.77833693304535645</v>
      </c>
      <c r="M100" s="33">
        <v>9.1946929959888929E-2</v>
      </c>
      <c r="N100" s="33">
        <v>0.01</v>
      </c>
      <c r="O100" s="33">
        <v>0.40203131612357179</v>
      </c>
      <c r="P100" s="33">
        <v>0.11383834109183248</v>
      </c>
      <c r="Q100" s="33">
        <v>5.4591620820990262E-2</v>
      </c>
      <c r="R100" s="33">
        <v>5.7553956834532384E-2</v>
      </c>
      <c r="S100" s="33">
        <v>0.3254337706305544</v>
      </c>
      <c r="T100" s="33">
        <v>4.6550994498518745E-2</v>
      </c>
      <c r="U100" s="33">
        <v>0.22597507036590264</v>
      </c>
      <c r="V100" s="33">
        <v>4.9055086449537683E-2</v>
      </c>
      <c r="W100" s="33">
        <v>0.29875351829513463</v>
      </c>
      <c r="X100" s="33">
        <v>1.1258544431041415E-2</v>
      </c>
      <c r="Y100" s="33">
        <v>0.41495778045838355</v>
      </c>
      <c r="Z100" s="33">
        <v>0.50987066031313821</v>
      </c>
      <c r="AA100" s="33">
        <v>2.4506466984343053E-2</v>
      </c>
      <c r="AB100" s="33">
        <v>0.12321307011572498</v>
      </c>
      <c r="AC100" s="33">
        <v>0.23893805309734514</v>
      </c>
      <c r="AD100" s="33">
        <v>0.10347174948944858</v>
      </c>
    </row>
    <row r="101" spans="2:30" x14ac:dyDescent="0.35">
      <c r="B101" s="41">
        <v>2033</v>
      </c>
      <c r="C101" s="33">
        <v>1.7054984249493865E-2</v>
      </c>
      <c r="D101" s="33">
        <v>9.7543505748386578E-3</v>
      </c>
      <c r="E101" s="33">
        <v>0.95730713852405691</v>
      </c>
      <c r="F101" s="33">
        <v>6.8211751120076589E-3</v>
      </c>
      <c r="G101" s="33">
        <v>9.0623515396028396E-3</v>
      </c>
      <c r="H101" s="33">
        <v>0.18937595979338265</v>
      </c>
      <c r="I101" s="33">
        <v>0.76319279631439496</v>
      </c>
      <c r="J101" s="33">
        <v>4.7431243892223918E-2</v>
      </c>
      <c r="K101" s="33">
        <v>0.11971613699475457</v>
      </c>
      <c r="L101" s="33">
        <v>0.77833693304535645</v>
      </c>
      <c r="M101" s="33">
        <v>9.1946929959888929E-2</v>
      </c>
      <c r="N101" s="33">
        <v>0.01</v>
      </c>
      <c r="O101" s="33">
        <v>0.40203131612357179</v>
      </c>
      <c r="P101" s="33">
        <v>0.11383834109183248</v>
      </c>
      <c r="Q101" s="33">
        <v>5.4591620820990262E-2</v>
      </c>
      <c r="R101" s="33">
        <v>5.7553956834532384E-2</v>
      </c>
      <c r="S101" s="33">
        <v>0.3254337706305544</v>
      </c>
      <c r="T101" s="33">
        <v>4.6550994498518745E-2</v>
      </c>
      <c r="U101" s="33">
        <v>0.22597507036590264</v>
      </c>
      <c r="V101" s="33">
        <v>4.9055086449537683E-2</v>
      </c>
      <c r="W101" s="33">
        <v>0.29875351829513463</v>
      </c>
      <c r="X101" s="33">
        <v>1.1258544431041415E-2</v>
      </c>
      <c r="Y101" s="33">
        <v>0.41495778045838355</v>
      </c>
      <c r="Z101" s="33">
        <v>0.50987066031313821</v>
      </c>
      <c r="AA101" s="33">
        <v>2.4506466984343053E-2</v>
      </c>
      <c r="AB101" s="33">
        <v>0.12321307011572498</v>
      </c>
      <c r="AC101" s="33">
        <v>0.23893805309734514</v>
      </c>
      <c r="AD101" s="33">
        <v>0.10347174948944858</v>
      </c>
    </row>
    <row r="102" spans="2:30" x14ac:dyDescent="0.35">
      <c r="B102" s="41">
        <v>2034</v>
      </c>
      <c r="C102" s="33">
        <v>1.7054984249493865E-2</v>
      </c>
      <c r="D102" s="33">
        <v>9.7543505748386578E-3</v>
      </c>
      <c r="E102" s="33">
        <v>0.95730713852405691</v>
      </c>
      <c r="F102" s="33">
        <v>6.8211751120076589E-3</v>
      </c>
      <c r="G102" s="33">
        <v>9.0623515396028396E-3</v>
      </c>
      <c r="H102" s="33">
        <v>0.18937595979338265</v>
      </c>
      <c r="I102" s="33">
        <v>0.76319279631439496</v>
      </c>
      <c r="J102" s="33">
        <v>4.7431243892223918E-2</v>
      </c>
      <c r="K102" s="33">
        <v>0.11971613699475457</v>
      </c>
      <c r="L102" s="33">
        <v>0.77833693304535645</v>
      </c>
      <c r="M102" s="33">
        <v>9.1946929959888929E-2</v>
      </c>
      <c r="N102" s="33">
        <v>0.01</v>
      </c>
      <c r="O102" s="33">
        <v>0.40203131612357179</v>
      </c>
      <c r="P102" s="33">
        <v>0.11383834109183248</v>
      </c>
      <c r="Q102" s="33">
        <v>5.4591620820990262E-2</v>
      </c>
      <c r="R102" s="33">
        <v>5.7553956834532384E-2</v>
      </c>
      <c r="S102" s="33">
        <v>0.3254337706305544</v>
      </c>
      <c r="T102" s="33">
        <v>4.6550994498518745E-2</v>
      </c>
      <c r="U102" s="33">
        <v>0.22597507036590264</v>
      </c>
      <c r="V102" s="33">
        <v>4.9055086449537683E-2</v>
      </c>
      <c r="W102" s="33">
        <v>0.29875351829513463</v>
      </c>
      <c r="X102" s="33">
        <v>1.1258544431041415E-2</v>
      </c>
      <c r="Y102" s="33">
        <v>0.41495778045838355</v>
      </c>
      <c r="Z102" s="33">
        <v>0.50987066031313821</v>
      </c>
      <c r="AA102" s="33">
        <v>2.4506466984343053E-2</v>
      </c>
      <c r="AB102" s="33">
        <v>0.12321307011572498</v>
      </c>
      <c r="AC102" s="33">
        <v>0.23893805309734514</v>
      </c>
      <c r="AD102" s="33">
        <v>0.10347174948944858</v>
      </c>
    </row>
    <row r="103" spans="2:30" x14ac:dyDescent="0.35">
      <c r="B103" s="41">
        <v>2035</v>
      </c>
      <c r="C103" s="33">
        <v>1.7054984249493865E-2</v>
      </c>
      <c r="D103" s="33">
        <v>9.7543505748386578E-3</v>
      </c>
      <c r="E103" s="33">
        <v>0.95730713852405691</v>
      </c>
      <c r="F103" s="33">
        <v>6.8211751120076589E-3</v>
      </c>
      <c r="G103" s="33">
        <v>9.0623515396028396E-3</v>
      </c>
      <c r="H103" s="33">
        <v>0.18937595979338265</v>
      </c>
      <c r="I103" s="33">
        <v>0.76319279631439496</v>
      </c>
      <c r="J103" s="33">
        <v>4.7431243892223918E-2</v>
      </c>
      <c r="K103" s="33">
        <v>0.11971613699475457</v>
      </c>
      <c r="L103" s="33">
        <v>0.77833693304535645</v>
      </c>
      <c r="M103" s="33">
        <v>9.1946929959888929E-2</v>
      </c>
      <c r="N103" s="33">
        <v>0.01</v>
      </c>
      <c r="O103" s="33">
        <v>0.40203131612357179</v>
      </c>
      <c r="P103" s="33">
        <v>0.11383834109183248</v>
      </c>
      <c r="Q103" s="33">
        <v>5.4591620820990262E-2</v>
      </c>
      <c r="R103" s="33">
        <v>5.7553956834532384E-2</v>
      </c>
      <c r="S103" s="33">
        <v>0.3254337706305544</v>
      </c>
      <c r="T103" s="33">
        <v>4.6550994498518745E-2</v>
      </c>
      <c r="U103" s="33">
        <v>0.22597507036590264</v>
      </c>
      <c r="V103" s="33">
        <v>4.9055086449537683E-2</v>
      </c>
      <c r="W103" s="33">
        <v>0.29875351829513463</v>
      </c>
      <c r="X103" s="33">
        <v>1.1258544431041415E-2</v>
      </c>
      <c r="Y103" s="33">
        <v>0.41495778045838355</v>
      </c>
      <c r="Z103" s="33">
        <v>0.50987066031313821</v>
      </c>
      <c r="AA103" s="33">
        <v>2.4506466984343053E-2</v>
      </c>
      <c r="AB103" s="33">
        <v>0.12321307011572498</v>
      </c>
      <c r="AC103" s="33">
        <v>0.23893805309734514</v>
      </c>
      <c r="AD103" s="33">
        <v>0.10347174948944858</v>
      </c>
    </row>
    <row r="104" spans="2:30" x14ac:dyDescent="0.35">
      <c r="B104" s="41">
        <v>2036</v>
      </c>
      <c r="C104" s="33">
        <v>1.7054984249493865E-2</v>
      </c>
      <c r="D104" s="33">
        <v>9.7543505748386578E-3</v>
      </c>
      <c r="E104" s="33">
        <v>0.95730713852405691</v>
      </c>
      <c r="F104" s="33">
        <v>6.8211751120076589E-3</v>
      </c>
      <c r="G104" s="33">
        <v>9.0623515396028396E-3</v>
      </c>
      <c r="H104" s="33">
        <v>0.18937595979338265</v>
      </c>
      <c r="I104" s="33">
        <v>0.76319279631439496</v>
      </c>
      <c r="J104" s="33">
        <v>4.7431243892223918E-2</v>
      </c>
      <c r="K104" s="33">
        <v>0.11971613699475457</v>
      </c>
      <c r="L104" s="33">
        <v>0.77833693304535645</v>
      </c>
      <c r="M104" s="33">
        <v>9.1946929959888929E-2</v>
      </c>
      <c r="N104" s="33">
        <v>0.01</v>
      </c>
      <c r="O104" s="33">
        <v>0.40203131612357179</v>
      </c>
      <c r="P104" s="33">
        <v>0.11383834109183248</v>
      </c>
      <c r="Q104" s="33">
        <v>5.4591620820990262E-2</v>
      </c>
      <c r="R104" s="33">
        <v>5.7553956834532384E-2</v>
      </c>
      <c r="S104" s="33">
        <v>0.3254337706305544</v>
      </c>
      <c r="T104" s="33">
        <v>4.6550994498518745E-2</v>
      </c>
      <c r="U104" s="33">
        <v>0.22597507036590264</v>
      </c>
      <c r="V104" s="33">
        <v>4.9055086449537683E-2</v>
      </c>
      <c r="W104" s="33">
        <v>0.29875351829513463</v>
      </c>
      <c r="X104" s="33">
        <v>1.1258544431041415E-2</v>
      </c>
      <c r="Y104" s="33">
        <v>0.41495778045838355</v>
      </c>
      <c r="Z104" s="33">
        <v>0.50987066031313821</v>
      </c>
      <c r="AA104" s="33">
        <v>2.4506466984343053E-2</v>
      </c>
      <c r="AB104" s="33">
        <v>0.12321307011572498</v>
      </c>
      <c r="AC104" s="33">
        <v>0.23893805309734514</v>
      </c>
      <c r="AD104" s="33">
        <v>0.10347174948944858</v>
      </c>
    </row>
    <row r="105" spans="2:30" x14ac:dyDescent="0.35">
      <c r="B105" s="41">
        <v>2037</v>
      </c>
      <c r="C105" s="33">
        <v>1.7054984249493865E-2</v>
      </c>
      <c r="D105" s="33">
        <v>9.7543505748386578E-3</v>
      </c>
      <c r="E105" s="33">
        <v>0.95730713852405691</v>
      </c>
      <c r="F105" s="33">
        <v>6.8211751120076589E-3</v>
      </c>
      <c r="G105" s="33">
        <v>9.0623515396028396E-3</v>
      </c>
      <c r="H105" s="33">
        <v>0.18937595979338265</v>
      </c>
      <c r="I105" s="33">
        <v>0.76319279631439496</v>
      </c>
      <c r="J105" s="33">
        <v>4.7431243892223918E-2</v>
      </c>
      <c r="K105" s="33">
        <v>0.11971613699475457</v>
      </c>
      <c r="L105" s="33">
        <v>0.77833693304535645</v>
      </c>
      <c r="M105" s="33">
        <v>9.1946929959888929E-2</v>
      </c>
      <c r="N105" s="33">
        <v>0.01</v>
      </c>
      <c r="O105" s="33">
        <v>0.40203131612357179</v>
      </c>
      <c r="P105" s="33">
        <v>0.11383834109183248</v>
      </c>
      <c r="Q105" s="33">
        <v>5.4591620820990262E-2</v>
      </c>
      <c r="R105" s="33">
        <v>5.7553956834532384E-2</v>
      </c>
      <c r="S105" s="33">
        <v>0.3254337706305544</v>
      </c>
      <c r="T105" s="33">
        <v>4.6550994498518745E-2</v>
      </c>
      <c r="U105" s="33">
        <v>0.22597507036590264</v>
      </c>
      <c r="V105" s="33">
        <v>4.9055086449537683E-2</v>
      </c>
      <c r="W105" s="33">
        <v>0.29875351829513463</v>
      </c>
      <c r="X105" s="33">
        <v>1.1258544431041415E-2</v>
      </c>
      <c r="Y105" s="33">
        <v>0.41495778045838355</v>
      </c>
      <c r="Z105" s="33">
        <v>0.50987066031313821</v>
      </c>
      <c r="AA105" s="33">
        <v>2.4506466984343053E-2</v>
      </c>
      <c r="AB105" s="33">
        <v>0.12321307011572498</v>
      </c>
      <c r="AC105" s="33">
        <v>0.23893805309734514</v>
      </c>
      <c r="AD105" s="33">
        <v>0.10347174948944858</v>
      </c>
    </row>
    <row r="106" spans="2:30" x14ac:dyDescent="0.35">
      <c r="B106" s="41">
        <v>2038</v>
      </c>
      <c r="C106" s="33">
        <v>1.7054984249493865E-2</v>
      </c>
      <c r="D106" s="33">
        <v>9.7543505748386578E-3</v>
      </c>
      <c r="E106" s="33">
        <v>0.95730713852405691</v>
      </c>
      <c r="F106" s="33">
        <v>6.8211751120076589E-3</v>
      </c>
      <c r="G106" s="33">
        <v>9.0623515396028396E-3</v>
      </c>
      <c r="H106" s="33">
        <v>0.18937595979338265</v>
      </c>
      <c r="I106" s="33">
        <v>0.76319279631439496</v>
      </c>
      <c r="J106" s="33">
        <v>4.7431243892223918E-2</v>
      </c>
      <c r="K106" s="33">
        <v>0.11971613699475457</v>
      </c>
      <c r="L106" s="33">
        <v>0.77833693304535645</v>
      </c>
      <c r="M106" s="33">
        <v>9.1946929959888929E-2</v>
      </c>
      <c r="N106" s="33">
        <v>0.01</v>
      </c>
      <c r="O106" s="33">
        <v>0.40203131612357179</v>
      </c>
      <c r="P106" s="33">
        <v>0.11383834109183248</v>
      </c>
      <c r="Q106" s="33">
        <v>5.4591620820990262E-2</v>
      </c>
      <c r="R106" s="33">
        <v>5.7553956834532384E-2</v>
      </c>
      <c r="S106" s="33">
        <v>0.3254337706305544</v>
      </c>
      <c r="T106" s="33">
        <v>4.6550994498518745E-2</v>
      </c>
      <c r="U106" s="33">
        <v>0.22597507036590264</v>
      </c>
      <c r="V106" s="33">
        <v>4.9055086449537683E-2</v>
      </c>
      <c r="W106" s="33">
        <v>0.29875351829513463</v>
      </c>
      <c r="X106" s="33">
        <v>1.1258544431041415E-2</v>
      </c>
      <c r="Y106" s="33">
        <v>0.41495778045838355</v>
      </c>
      <c r="Z106" s="33">
        <v>0.50987066031313821</v>
      </c>
      <c r="AA106" s="33">
        <v>2.4506466984343053E-2</v>
      </c>
      <c r="AB106" s="33">
        <v>0.12321307011572498</v>
      </c>
      <c r="AC106" s="33">
        <v>0.23893805309734514</v>
      </c>
      <c r="AD106" s="33">
        <v>0.10347174948944858</v>
      </c>
    </row>
    <row r="107" spans="2:30" x14ac:dyDescent="0.35">
      <c r="B107" s="41">
        <v>2039</v>
      </c>
      <c r="C107" s="33">
        <v>1.7054984249493865E-2</v>
      </c>
      <c r="D107" s="33">
        <v>9.7543505748386578E-3</v>
      </c>
      <c r="E107" s="33">
        <v>0.95730713852405691</v>
      </c>
      <c r="F107" s="33">
        <v>6.8211751120076589E-3</v>
      </c>
      <c r="G107" s="33">
        <v>9.0623515396028396E-3</v>
      </c>
      <c r="H107" s="33">
        <v>0.18937595979338265</v>
      </c>
      <c r="I107" s="33">
        <v>0.76319279631439496</v>
      </c>
      <c r="J107" s="33">
        <v>4.7431243892223918E-2</v>
      </c>
      <c r="K107" s="33">
        <v>0.11971613699475457</v>
      </c>
      <c r="L107" s="33">
        <v>0.77833693304535645</v>
      </c>
      <c r="M107" s="33">
        <v>9.1946929959888929E-2</v>
      </c>
      <c r="N107" s="33">
        <v>0.01</v>
      </c>
      <c r="O107" s="33">
        <v>0.40203131612357179</v>
      </c>
      <c r="P107" s="33">
        <v>0.11383834109183248</v>
      </c>
      <c r="Q107" s="33">
        <v>5.4591620820990262E-2</v>
      </c>
      <c r="R107" s="33">
        <v>5.7553956834532384E-2</v>
      </c>
      <c r="S107" s="33">
        <v>0.3254337706305544</v>
      </c>
      <c r="T107" s="33">
        <v>4.6550994498518745E-2</v>
      </c>
      <c r="U107" s="33">
        <v>0.22597507036590264</v>
      </c>
      <c r="V107" s="33">
        <v>4.9055086449537683E-2</v>
      </c>
      <c r="W107" s="33">
        <v>0.29875351829513463</v>
      </c>
      <c r="X107" s="33">
        <v>1.1258544431041415E-2</v>
      </c>
      <c r="Y107" s="33">
        <v>0.41495778045838355</v>
      </c>
      <c r="Z107" s="33">
        <v>0.50987066031313821</v>
      </c>
      <c r="AA107" s="33">
        <v>2.4506466984343053E-2</v>
      </c>
      <c r="AB107" s="33">
        <v>0.12321307011572498</v>
      </c>
      <c r="AC107" s="33">
        <v>0.23893805309734514</v>
      </c>
      <c r="AD107" s="33">
        <v>0.10347174948944858</v>
      </c>
    </row>
    <row r="108" spans="2:30" x14ac:dyDescent="0.35">
      <c r="B108" s="41">
        <v>2040</v>
      </c>
      <c r="C108" s="33">
        <v>1.7054984249493865E-2</v>
      </c>
      <c r="D108" s="33">
        <v>9.7543505748386578E-3</v>
      </c>
      <c r="E108" s="33">
        <v>0.95730713852405691</v>
      </c>
      <c r="F108" s="33">
        <v>6.8211751120076589E-3</v>
      </c>
      <c r="G108" s="33">
        <v>9.0623515396028396E-3</v>
      </c>
      <c r="H108" s="33">
        <v>0.18937595979338265</v>
      </c>
      <c r="I108" s="33">
        <v>0.76319279631439596</v>
      </c>
      <c r="J108" s="33">
        <v>4.7431243892223918E-2</v>
      </c>
      <c r="K108" s="33">
        <v>0.11971613699475457</v>
      </c>
      <c r="L108" s="33">
        <v>0.77833693304535645</v>
      </c>
      <c r="M108" s="33">
        <v>9.1946929959888929E-2</v>
      </c>
      <c r="N108" s="33">
        <v>0.01</v>
      </c>
      <c r="O108" s="33">
        <v>0.40203131612357179</v>
      </c>
      <c r="P108" s="33">
        <v>0.11383834109183248</v>
      </c>
      <c r="Q108" s="33">
        <v>5.4591620820990262E-2</v>
      </c>
      <c r="R108" s="33">
        <v>5.7553956834532384E-2</v>
      </c>
      <c r="S108" s="33">
        <v>0.3254337706305544</v>
      </c>
      <c r="T108" s="33">
        <v>4.6550994498518745E-2</v>
      </c>
      <c r="U108" s="33">
        <v>0.22597507036590264</v>
      </c>
      <c r="V108" s="33">
        <v>4.9055086449537683E-2</v>
      </c>
      <c r="W108" s="33">
        <v>0.29875351829513463</v>
      </c>
      <c r="X108" s="33">
        <v>1.1258544431041415E-2</v>
      </c>
      <c r="Y108" s="33">
        <v>0.41495778045838355</v>
      </c>
      <c r="Z108" s="33">
        <v>0.50987066031313821</v>
      </c>
      <c r="AA108" s="33">
        <v>2.4506466984343053E-2</v>
      </c>
      <c r="AB108" s="33">
        <v>0.12321307011572498</v>
      </c>
      <c r="AC108" s="33">
        <v>0.23893805309734514</v>
      </c>
      <c r="AD108" s="33">
        <v>0.10347174948944858</v>
      </c>
    </row>
    <row r="109" spans="2:30" x14ac:dyDescent="0.35">
      <c r="B109" s="41">
        <v>2041</v>
      </c>
      <c r="C109" s="33">
        <v>1.7054984249493865E-2</v>
      </c>
      <c r="D109" s="33">
        <v>9.7543505748386578E-3</v>
      </c>
      <c r="E109" s="33">
        <v>0.95730713852405691</v>
      </c>
      <c r="F109" s="33">
        <v>6.8211751120076589E-3</v>
      </c>
      <c r="G109" s="33">
        <v>9.0623515396028396E-3</v>
      </c>
      <c r="H109" s="33">
        <v>0.18937595979338265</v>
      </c>
      <c r="I109" s="33">
        <v>0.76319279631439596</v>
      </c>
      <c r="J109" s="33">
        <v>4.7431243892223918E-2</v>
      </c>
      <c r="K109" s="33">
        <v>0.11971613699475457</v>
      </c>
      <c r="L109" s="33">
        <v>0.77833693304535645</v>
      </c>
      <c r="M109" s="33">
        <v>9.1946929959888929E-2</v>
      </c>
      <c r="N109" s="33">
        <v>0.01</v>
      </c>
      <c r="O109" s="33">
        <v>0.40203131612357179</v>
      </c>
      <c r="P109" s="33">
        <v>0.11383834109183248</v>
      </c>
      <c r="Q109" s="33">
        <v>5.4591620820990262E-2</v>
      </c>
      <c r="R109" s="33">
        <v>5.7553956834532384E-2</v>
      </c>
      <c r="S109" s="33">
        <v>0.3254337706305544</v>
      </c>
      <c r="T109" s="33">
        <v>4.6550994498518745E-2</v>
      </c>
      <c r="U109" s="33">
        <v>0.22597507036590264</v>
      </c>
      <c r="V109" s="33">
        <v>4.9055086449537683E-2</v>
      </c>
      <c r="W109" s="33">
        <v>0.29875351829513463</v>
      </c>
      <c r="X109" s="33">
        <v>1.1258544431041415E-2</v>
      </c>
      <c r="Y109" s="33">
        <v>0.41495778045838355</v>
      </c>
      <c r="Z109" s="33">
        <v>0.50987066031313821</v>
      </c>
      <c r="AA109" s="33">
        <v>2.4506466984343053E-2</v>
      </c>
      <c r="AB109" s="33">
        <v>0.12321307011572498</v>
      </c>
      <c r="AC109" s="33">
        <v>0.23893805309734514</v>
      </c>
      <c r="AD109" s="33">
        <v>0.10347174948944858</v>
      </c>
    </row>
    <row r="110" spans="2:30" x14ac:dyDescent="0.35">
      <c r="B110" s="41">
        <v>2042</v>
      </c>
      <c r="C110" s="33">
        <v>1.7054984249493865E-2</v>
      </c>
      <c r="D110" s="33">
        <v>9.7543505748386578E-3</v>
      </c>
      <c r="E110" s="33">
        <v>0.95730713852405691</v>
      </c>
      <c r="F110" s="33">
        <v>6.8211751120076589E-3</v>
      </c>
      <c r="G110" s="33">
        <v>9.0623515396028396E-3</v>
      </c>
      <c r="H110" s="33">
        <v>0.18937595979338265</v>
      </c>
      <c r="I110" s="33">
        <v>0.76319279631439596</v>
      </c>
      <c r="J110" s="33">
        <v>4.7431243892223918E-2</v>
      </c>
      <c r="K110" s="33">
        <v>0.11971613699475457</v>
      </c>
      <c r="L110" s="33">
        <v>0.77833693304535645</v>
      </c>
      <c r="M110" s="33">
        <v>9.1946929959888929E-2</v>
      </c>
      <c r="N110" s="33">
        <v>0.01</v>
      </c>
      <c r="O110" s="33">
        <v>0.40203131612357179</v>
      </c>
      <c r="P110" s="33">
        <v>0.11383834109183248</v>
      </c>
      <c r="Q110" s="33">
        <v>5.4591620820990262E-2</v>
      </c>
      <c r="R110" s="33">
        <v>5.7553956834532384E-2</v>
      </c>
      <c r="S110" s="33">
        <v>0.3254337706305544</v>
      </c>
      <c r="T110" s="33">
        <v>4.6550994498518745E-2</v>
      </c>
      <c r="U110" s="33">
        <v>0.22597507036590264</v>
      </c>
      <c r="V110" s="33">
        <v>4.9055086449537683E-2</v>
      </c>
      <c r="W110" s="33">
        <v>0.29875351829513463</v>
      </c>
      <c r="X110" s="33">
        <v>1.1258544431041415E-2</v>
      </c>
      <c r="Y110" s="33">
        <v>0.41495778045838355</v>
      </c>
      <c r="Z110" s="33">
        <v>0.50987066031313821</v>
      </c>
      <c r="AA110" s="33">
        <v>2.4506466984343053E-2</v>
      </c>
      <c r="AB110" s="33">
        <v>0.12321307011572498</v>
      </c>
      <c r="AC110" s="33">
        <v>0.23893805309734514</v>
      </c>
      <c r="AD110" s="33">
        <v>0.10347174948944858</v>
      </c>
    </row>
    <row r="111" spans="2:30" x14ac:dyDescent="0.35">
      <c r="B111" s="41">
        <v>2043</v>
      </c>
      <c r="C111" s="33">
        <v>1.7054984249493865E-2</v>
      </c>
      <c r="D111" s="33">
        <v>9.7543505748386578E-3</v>
      </c>
      <c r="E111" s="33">
        <v>0.95730713852405691</v>
      </c>
      <c r="F111" s="33">
        <v>6.8211751120076589E-3</v>
      </c>
      <c r="G111" s="33">
        <v>9.0623515396028396E-3</v>
      </c>
      <c r="H111" s="33">
        <v>0.18937595979338265</v>
      </c>
      <c r="I111" s="33">
        <v>0.76319279631439596</v>
      </c>
      <c r="J111" s="33">
        <v>4.7431243892223918E-2</v>
      </c>
      <c r="K111" s="33">
        <v>0.11971613699475457</v>
      </c>
      <c r="L111" s="33">
        <v>0.77833693304535645</v>
      </c>
      <c r="M111" s="33">
        <v>9.1946929959888929E-2</v>
      </c>
      <c r="N111" s="33">
        <v>0.01</v>
      </c>
      <c r="O111" s="33">
        <v>0.40203131612357179</v>
      </c>
      <c r="P111" s="33">
        <v>0.11383834109183248</v>
      </c>
      <c r="Q111" s="33">
        <v>5.4591620820990262E-2</v>
      </c>
      <c r="R111" s="33">
        <v>5.7553956834532384E-2</v>
      </c>
      <c r="S111" s="33">
        <v>0.3254337706305544</v>
      </c>
      <c r="T111" s="33">
        <v>4.6550994498518745E-2</v>
      </c>
      <c r="U111" s="33">
        <v>0.22597507036590264</v>
      </c>
      <c r="V111" s="33">
        <v>4.9055086449537683E-2</v>
      </c>
      <c r="W111" s="33">
        <v>0.29875351829513463</v>
      </c>
      <c r="X111" s="33">
        <v>1.1258544431041415E-2</v>
      </c>
      <c r="Y111" s="33">
        <v>0.41495778045838355</v>
      </c>
      <c r="Z111" s="33">
        <v>0.50987066031313821</v>
      </c>
      <c r="AA111" s="33">
        <v>2.4506466984343053E-2</v>
      </c>
      <c r="AB111" s="33">
        <v>0.12321307011572498</v>
      </c>
      <c r="AC111" s="33">
        <v>0.23893805309734514</v>
      </c>
      <c r="AD111" s="33">
        <v>0.10347174948944858</v>
      </c>
    </row>
    <row r="112" spans="2:30" x14ac:dyDescent="0.35">
      <c r="B112" s="41">
        <v>2044</v>
      </c>
      <c r="C112" s="33">
        <v>1.7054984249493865E-2</v>
      </c>
      <c r="D112" s="33">
        <v>9.7543505748386578E-3</v>
      </c>
      <c r="E112" s="33">
        <v>0.95730713852405691</v>
      </c>
      <c r="F112" s="33">
        <v>6.8211751120076589E-3</v>
      </c>
      <c r="G112" s="33">
        <v>9.0623515396028396E-3</v>
      </c>
      <c r="H112" s="33">
        <v>0.18937595979338265</v>
      </c>
      <c r="I112" s="33">
        <v>0.76319279631439596</v>
      </c>
      <c r="J112" s="33">
        <v>4.7431243892223918E-2</v>
      </c>
      <c r="K112" s="33">
        <v>0.11971613699475457</v>
      </c>
      <c r="L112" s="33">
        <v>0.77833693304535645</v>
      </c>
      <c r="M112" s="33">
        <v>9.1946929959888929E-2</v>
      </c>
      <c r="N112" s="33">
        <v>0.01</v>
      </c>
      <c r="O112" s="33">
        <v>0.40203131612357179</v>
      </c>
      <c r="P112" s="33">
        <v>0.11383834109183248</v>
      </c>
      <c r="Q112" s="33">
        <v>5.4591620820990262E-2</v>
      </c>
      <c r="R112" s="33">
        <v>5.7553956834532384E-2</v>
      </c>
      <c r="S112" s="33">
        <v>0.3254337706305544</v>
      </c>
      <c r="T112" s="33">
        <v>4.6550994498518745E-2</v>
      </c>
      <c r="U112" s="33">
        <v>0.22597507036590264</v>
      </c>
      <c r="V112" s="33">
        <v>4.9055086449537683E-2</v>
      </c>
      <c r="W112" s="33">
        <v>0.29875351829513463</v>
      </c>
      <c r="X112" s="33">
        <v>1.1258544431041415E-2</v>
      </c>
      <c r="Y112" s="33">
        <v>0.41495778045838355</v>
      </c>
      <c r="Z112" s="33">
        <v>0.50987066031313821</v>
      </c>
      <c r="AA112" s="33">
        <v>2.4506466984343053E-2</v>
      </c>
      <c r="AB112" s="33">
        <v>0.12321307011572498</v>
      </c>
      <c r="AC112" s="33">
        <v>0.23893805309734514</v>
      </c>
      <c r="AD112" s="33">
        <v>0.10347174948944858</v>
      </c>
    </row>
    <row r="113" spans="2:30" x14ac:dyDescent="0.35">
      <c r="B113" s="41">
        <v>2045</v>
      </c>
      <c r="C113" s="33">
        <v>1.7054984249493865E-2</v>
      </c>
      <c r="D113" s="33">
        <v>9.7543505748386578E-3</v>
      </c>
      <c r="E113" s="33">
        <v>0.95730713852405691</v>
      </c>
      <c r="F113" s="33">
        <v>6.8211751120076589E-3</v>
      </c>
      <c r="G113" s="33">
        <v>9.0623515396028396E-3</v>
      </c>
      <c r="H113" s="33">
        <v>0.18937595979338265</v>
      </c>
      <c r="I113" s="33">
        <v>0.76319279631439596</v>
      </c>
      <c r="J113" s="33">
        <v>4.7431243892223918E-2</v>
      </c>
      <c r="K113" s="33">
        <v>0.11971613699475457</v>
      </c>
      <c r="L113" s="33">
        <v>0.77833693304535645</v>
      </c>
      <c r="M113" s="33">
        <v>9.1946929959888929E-2</v>
      </c>
      <c r="N113" s="33">
        <v>0.01</v>
      </c>
      <c r="O113" s="33">
        <v>0.40203131612357179</v>
      </c>
      <c r="P113" s="33">
        <v>0.11383834109183248</v>
      </c>
      <c r="Q113" s="33">
        <v>5.4591620820990262E-2</v>
      </c>
      <c r="R113" s="33">
        <v>5.7553956834532384E-2</v>
      </c>
      <c r="S113" s="33">
        <v>0.3254337706305544</v>
      </c>
      <c r="T113" s="33">
        <v>4.6550994498518745E-2</v>
      </c>
      <c r="U113" s="33">
        <v>0.22597507036590264</v>
      </c>
      <c r="V113" s="33">
        <v>4.9055086449537683E-2</v>
      </c>
      <c r="W113" s="33">
        <v>0.29875351829513463</v>
      </c>
      <c r="X113" s="33">
        <v>1.1258544431041415E-2</v>
      </c>
      <c r="Y113" s="33">
        <v>0.41495778045838355</v>
      </c>
      <c r="Z113" s="33">
        <v>0.50987066031313821</v>
      </c>
      <c r="AA113" s="33">
        <v>2.4506466984343053E-2</v>
      </c>
      <c r="AB113" s="33">
        <v>0.12321307011572498</v>
      </c>
      <c r="AC113" s="33">
        <v>0.23893805309734514</v>
      </c>
      <c r="AD113" s="33">
        <v>0.10347174948944858</v>
      </c>
    </row>
  </sheetData>
  <mergeCells count="9">
    <mergeCell ref="C4:M5"/>
    <mergeCell ref="N4:W5"/>
    <mergeCell ref="X4:AB5"/>
    <mergeCell ref="C85:G85"/>
    <mergeCell ref="H85:J85"/>
    <mergeCell ref="O85:T85"/>
    <mergeCell ref="U85:Y85"/>
    <mergeCell ref="Z85:AD85"/>
    <mergeCell ref="K85:N85"/>
  </mergeCells>
  <phoneticPr fontId="6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84E5-A92D-40D5-9F1C-54A896543AA0}">
  <dimension ref="A1:CB128"/>
  <sheetViews>
    <sheetView zoomScale="70" zoomScaleNormal="70" workbookViewId="0">
      <pane xSplit="1" topLeftCell="B1" activePane="topRight" state="frozen"/>
      <selection pane="topRight" activeCell="C43" sqref="C43"/>
    </sheetView>
  </sheetViews>
  <sheetFormatPr defaultRowHeight="14.5" x14ac:dyDescent="0.35"/>
  <cols>
    <col min="1" max="1" width="41.6328125" bestFit="1" customWidth="1"/>
    <col min="2" max="2" width="15.6328125" bestFit="1" customWidth="1"/>
    <col min="3" max="3" width="14.90625" bestFit="1" customWidth="1"/>
    <col min="4" max="4" width="12.6328125" bestFit="1" customWidth="1"/>
    <col min="5" max="5" width="16.36328125" bestFit="1" customWidth="1"/>
    <col min="6" max="6" width="13.36328125" bestFit="1" customWidth="1"/>
    <col min="7" max="7" width="15.6328125" bestFit="1" customWidth="1"/>
    <col min="8" max="8" width="12.6328125" bestFit="1" customWidth="1"/>
    <col min="9" max="9" width="12.453125" bestFit="1" customWidth="1"/>
    <col min="10" max="10" width="15.6328125" bestFit="1" customWidth="1"/>
    <col min="11" max="11" width="15.08984375" bestFit="1" customWidth="1"/>
    <col min="12" max="12" width="12.6328125" bestFit="1" customWidth="1"/>
    <col min="13" max="14" width="12.453125" bestFit="1" customWidth="1"/>
    <col min="15" max="15" width="15.6328125" bestFit="1" customWidth="1"/>
    <col min="16" max="16" width="41.36328125" bestFit="1" customWidth="1"/>
    <col min="17" max="17" width="12.6328125" bestFit="1" customWidth="1"/>
    <col min="18" max="18" width="16.36328125" bestFit="1" customWidth="1"/>
    <col min="19" max="19" width="12.453125" bestFit="1" customWidth="1"/>
    <col min="20" max="20" width="14.90625" bestFit="1" customWidth="1"/>
    <col min="21" max="21" width="15.6328125" bestFit="1" customWidth="1"/>
    <col min="22" max="22" width="12.453125" bestFit="1" customWidth="1"/>
    <col min="23" max="23" width="14.90625" bestFit="1" customWidth="1"/>
    <col min="24" max="24" width="12.6328125" bestFit="1" customWidth="1"/>
    <col min="25" max="25" width="12.453125" bestFit="1" customWidth="1"/>
    <col min="26" max="26" width="15.6328125" bestFit="1" customWidth="1"/>
    <col min="27" max="27" width="12.453125" bestFit="1" customWidth="1"/>
    <col min="28" max="28" width="12.6328125" bestFit="1" customWidth="1"/>
    <col min="29" max="29" width="12.453125" bestFit="1" customWidth="1"/>
    <col min="30" max="30" width="14.90625" bestFit="1" customWidth="1"/>
  </cols>
  <sheetData>
    <row r="1" spans="1:53" ht="20" thickBot="1" x14ac:dyDescent="0.5">
      <c r="A1" s="58" t="s">
        <v>121</v>
      </c>
    </row>
    <row r="2" spans="1:53" ht="15" thickTop="1" x14ac:dyDescent="0.35">
      <c r="A2" t="s">
        <v>120</v>
      </c>
    </row>
    <row r="3" spans="1:53" x14ac:dyDescent="0.35">
      <c r="B3" s="184" t="s">
        <v>105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5" t="s">
        <v>131</v>
      </c>
      <c r="N3" s="185"/>
      <c r="O3" s="185"/>
      <c r="P3" s="185"/>
      <c r="Q3" s="185"/>
      <c r="R3" s="185"/>
      <c r="S3" s="185"/>
      <c r="T3" s="185"/>
      <c r="U3" s="185"/>
      <c r="V3" s="185"/>
      <c r="W3" s="186" t="s">
        <v>107</v>
      </c>
      <c r="X3" s="186"/>
      <c r="Y3" s="186"/>
      <c r="Z3" s="186"/>
      <c r="AA3" s="186"/>
    </row>
    <row r="4" spans="1:53" x14ac:dyDescent="0.35"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6"/>
      <c r="X4" s="186"/>
      <c r="Y4" s="186"/>
      <c r="Z4" s="186"/>
      <c r="AA4" s="186"/>
    </row>
    <row r="5" spans="1:53" x14ac:dyDescent="0.35">
      <c r="A5" t="s">
        <v>52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37</v>
      </c>
      <c r="N5" t="s">
        <v>54</v>
      </c>
      <c r="O5" t="s">
        <v>55</v>
      </c>
      <c r="P5" t="s">
        <v>56</v>
      </c>
      <c r="Q5" t="s">
        <v>57</v>
      </c>
      <c r="R5" t="s">
        <v>58</v>
      </c>
      <c r="S5" t="s">
        <v>59</v>
      </c>
      <c r="T5" t="s">
        <v>60</v>
      </c>
      <c r="U5" t="s">
        <v>61</v>
      </c>
      <c r="V5" t="s">
        <v>62</v>
      </c>
      <c r="W5" t="s">
        <v>85</v>
      </c>
      <c r="X5" t="s">
        <v>86</v>
      </c>
      <c r="Y5" t="s">
        <v>87</v>
      </c>
      <c r="Z5" t="s">
        <v>88</v>
      </c>
      <c r="AA5" t="s">
        <v>89</v>
      </c>
      <c r="AB5" t="s">
        <v>38</v>
      </c>
      <c r="AC5" t="s">
        <v>40</v>
      </c>
      <c r="AD5" t="s">
        <v>41</v>
      </c>
      <c r="AE5" t="s">
        <v>42</v>
      </c>
      <c r="AF5" t="s">
        <v>43</v>
      </c>
      <c r="AG5" t="s">
        <v>44</v>
      </c>
      <c r="AH5" t="s">
        <v>45</v>
      </c>
      <c r="AI5" t="s">
        <v>46</v>
      </c>
      <c r="AJ5" t="s">
        <v>47</v>
      </c>
      <c r="AK5" t="s">
        <v>48</v>
      </c>
      <c r="AL5" t="s">
        <v>39</v>
      </c>
      <c r="AM5" s="19" t="s">
        <v>90</v>
      </c>
      <c r="AN5" s="19" t="s">
        <v>91</v>
      </c>
      <c r="AO5" s="19" t="s">
        <v>92</v>
      </c>
      <c r="AP5" s="19" t="s">
        <v>93</v>
      </c>
      <c r="AQ5" s="19" t="s">
        <v>94</v>
      </c>
      <c r="AR5" s="19" t="s">
        <v>95</v>
      </c>
      <c r="AS5" s="19" t="s">
        <v>96</v>
      </c>
      <c r="AT5" s="19" t="s">
        <v>97</v>
      </c>
      <c r="AU5" s="19" t="s">
        <v>98</v>
      </c>
      <c r="AV5" s="19" t="s">
        <v>99</v>
      </c>
      <c r="AW5" s="19" t="s">
        <v>100</v>
      </c>
      <c r="AX5" s="19" t="s">
        <v>101</v>
      </c>
      <c r="AY5" s="19" t="s">
        <v>102</v>
      </c>
      <c r="AZ5" s="19" t="s">
        <v>103</v>
      </c>
      <c r="BA5" s="19" t="s">
        <v>104</v>
      </c>
    </row>
    <row r="6" spans="1:53" x14ac:dyDescent="0.35">
      <c r="A6" s="3" t="s">
        <v>4</v>
      </c>
      <c r="B6" s="3">
        <v>355878</v>
      </c>
      <c r="C6">
        <f>Tabella33374052[[#This Row],[2020]]+(Tabella33374052[[#This Row],[2025]]-Tabella33374052[[#This Row],[2020]])/5</f>
        <v>350156.04</v>
      </c>
      <c r="D6">
        <v>344434.07999999996</v>
      </c>
      <c r="E6">
        <v>338712.11999999994</v>
      </c>
      <c r="F6">
        <v>332990.15999999992</v>
      </c>
      <c r="G6" s="3">
        <v>327268.2</v>
      </c>
      <c r="H6">
        <v>319662.18</v>
      </c>
      <c r="I6">
        <v>312056.15999999997</v>
      </c>
      <c r="J6">
        <v>304450.13999999996</v>
      </c>
      <c r="K6">
        <v>296844.11999999994</v>
      </c>
      <c r="L6" s="3">
        <v>289238.10000000003</v>
      </c>
      <c r="M6">
        <v>281632.08</v>
      </c>
      <c r="N6">
        <v>274026.06</v>
      </c>
      <c r="O6">
        <v>266420.03999999998</v>
      </c>
      <c r="P6">
        <v>258814.02</v>
      </c>
      <c r="Q6">
        <v>251208</v>
      </c>
      <c r="R6">
        <v>243601.98</v>
      </c>
      <c r="S6">
        <v>235995.96000000002</v>
      </c>
      <c r="T6">
        <v>228389.94000000003</v>
      </c>
      <c r="U6">
        <v>220783.92000000004</v>
      </c>
      <c r="V6">
        <v>213177.90000000005</v>
      </c>
      <c r="W6">
        <v>213177.90000000005</v>
      </c>
      <c r="X6">
        <v>213177.90000000005</v>
      </c>
      <c r="Y6">
        <v>213177.90000000005</v>
      </c>
      <c r="Z6">
        <v>213177.90000000005</v>
      </c>
      <c r="AA6">
        <v>213177.90000000005</v>
      </c>
      <c r="AB6">
        <v>1.0000000000000002</v>
      </c>
      <c r="AC6">
        <v>1.0000000000000002</v>
      </c>
      <c r="AD6">
        <v>1.0000000000000002</v>
      </c>
      <c r="AE6">
        <v>1.0000000000000004</v>
      </c>
      <c r="AF6">
        <v>1.0000000000000004</v>
      </c>
      <c r="AG6">
        <v>1</v>
      </c>
      <c r="AH6">
        <v>1</v>
      </c>
      <c r="AI6">
        <v>1.0000000000000002</v>
      </c>
      <c r="AJ6">
        <v>1.0000000000000002</v>
      </c>
      <c r="AK6">
        <v>1.0000000000000004</v>
      </c>
      <c r="AL6">
        <v>0.99999999999999989</v>
      </c>
      <c r="AM6">
        <v>0.99999999999999989</v>
      </c>
      <c r="AN6">
        <v>0.99999999999999989</v>
      </c>
      <c r="AO6">
        <v>0.99999999999999989</v>
      </c>
      <c r="AP6">
        <v>0.99999999999999989</v>
      </c>
      <c r="AQ6">
        <v>0.99999999999999989</v>
      </c>
      <c r="AR6">
        <v>0.99999999999999989</v>
      </c>
      <c r="AS6">
        <v>0.99999999999999989</v>
      </c>
      <c r="AT6">
        <v>0.99999999999999989</v>
      </c>
      <c r="AU6">
        <v>0.99999999999999989</v>
      </c>
      <c r="AV6">
        <v>0.99999999999999989</v>
      </c>
      <c r="AW6">
        <v>0.99999999999999989</v>
      </c>
      <c r="AX6">
        <v>0.99999999999999989</v>
      </c>
      <c r="AY6">
        <v>0.99999999999999989</v>
      </c>
      <c r="AZ6">
        <v>0.99999999999999989</v>
      </c>
      <c r="BA6">
        <v>0.99999999999999989</v>
      </c>
    </row>
    <row r="7" spans="1:53" x14ac:dyDescent="0.35">
      <c r="A7" t="s">
        <v>13</v>
      </c>
      <c r="B7" s="3">
        <v>72338.600000000035</v>
      </c>
      <c r="C7">
        <v>72664.24000000002</v>
      </c>
      <c r="D7">
        <v>72989.88</v>
      </c>
      <c r="E7">
        <v>73315.51999999999</v>
      </c>
      <c r="F7">
        <v>73641.159999999974</v>
      </c>
      <c r="G7" s="3">
        <v>73966.799999999988</v>
      </c>
      <c r="H7">
        <v>76455.62</v>
      </c>
      <c r="I7">
        <v>78944.44</v>
      </c>
      <c r="J7">
        <v>81433.260000000009</v>
      </c>
      <c r="K7">
        <v>83922.080000000016</v>
      </c>
      <c r="L7" s="3">
        <v>86410.9</v>
      </c>
      <c r="M7">
        <f>M$6*Tabella33374052[[#This Row],[2031%]]</f>
        <v>84138.574764776829</v>
      </c>
      <c r="N7">
        <f>N$6*Tabella33374052[[#This Row],[2032%]]</f>
        <v>81866.249529553665</v>
      </c>
      <c r="O7">
        <f>O$6*Tabella33374052[[#This Row],[2033%]]</f>
        <v>79593.9242943305</v>
      </c>
      <c r="P7">
        <f>P$6*Tabella33374052[[#This Row],[2034%]]</f>
        <v>77321.599059107335</v>
      </c>
      <c r="Q7">
        <f>Q$6*Tabella33374052[[#This Row],[2035%]]</f>
        <v>75049.273823884185</v>
      </c>
      <c r="R7">
        <f>R$6*Tabella33374052[[#This Row],[2036%]]</f>
        <v>72776.94858866102</v>
      </c>
      <c r="S7">
        <f>S$6*Tabella33374052[[#This Row],[2037%]]</f>
        <v>70504.62335343787</v>
      </c>
      <c r="T7">
        <f>T$6*Tabella33374052[[#This Row],[2038%]]</f>
        <v>68232.298118214705</v>
      </c>
      <c r="U7">
        <f>U$6*Tabella33374052[[#This Row],[2039%]]</f>
        <v>65959.972882991555</v>
      </c>
      <c r="V7">
        <f>V$6*Tabella33374052[[#This Row],[2040%]]</f>
        <v>63687.647647768397</v>
      </c>
      <c r="W7">
        <f>W$6*Tabella33374052[[#This Row],[2041%]]</f>
        <v>63687.647647768397</v>
      </c>
      <c r="X7">
        <f>X$6*Tabella33374052[[#This Row],[2042%]]</f>
        <v>63687.647647768397</v>
      </c>
      <c r="Y7">
        <f>Y$6*Tabella33374052[[#This Row],[2043%]]</f>
        <v>63687.647647768397</v>
      </c>
      <c r="Z7">
        <f>Z$6*Tabella33374052[[#This Row],[2044%]]</f>
        <v>63687.647647768397</v>
      </c>
      <c r="AA7">
        <f>AA$6*Tabella33374052[[#This Row],[2045%]]</f>
        <v>63687.647647768397</v>
      </c>
      <c r="AB7">
        <v>0.20326797385620926</v>
      </c>
      <c r="AC7">
        <v>0.20751959612063245</v>
      </c>
      <c r="AD7">
        <v>0.21191247974068075</v>
      </c>
      <c r="AE7">
        <v>0.21645378382090374</v>
      </c>
      <c r="AF7">
        <v>0.22115115954177142</v>
      </c>
      <c r="AG7">
        <v>0.22601279317697223</v>
      </c>
      <c r="AH7">
        <v>0.23917630793858691</v>
      </c>
      <c r="AI7">
        <v>0.25298151460942159</v>
      </c>
      <c r="AJ7">
        <v>0.26747650699060288</v>
      </c>
      <c r="AK7">
        <v>0.28271430810217846</v>
      </c>
      <c r="AL7">
        <v>0.29875351829513463</v>
      </c>
      <c r="AM7">
        <v>0.29875351829513463</v>
      </c>
      <c r="AN7">
        <v>0.29875351829513463</v>
      </c>
      <c r="AO7">
        <v>0.29875351829513463</v>
      </c>
      <c r="AP7">
        <v>0.29875351829513463</v>
      </c>
      <c r="AQ7">
        <v>0.29875351829513463</v>
      </c>
      <c r="AR7">
        <v>0.29875351829513463</v>
      </c>
      <c r="AS7">
        <v>0.29875351829513463</v>
      </c>
      <c r="AT7">
        <v>0.29875351829513463</v>
      </c>
      <c r="AU7">
        <v>0.29875351829513463</v>
      </c>
      <c r="AV7">
        <v>0.29875351829513463</v>
      </c>
      <c r="AW7">
        <v>0.29875351829513463</v>
      </c>
      <c r="AX7">
        <v>0.29875351829513463</v>
      </c>
      <c r="AY7">
        <v>0.29875351829513463</v>
      </c>
      <c r="AZ7">
        <v>0.29875351829513463</v>
      </c>
      <c r="BA7">
        <v>0.29875351829513463</v>
      </c>
    </row>
    <row r="8" spans="1:53" x14ac:dyDescent="0.35">
      <c r="A8" t="s">
        <v>12</v>
      </c>
      <c r="B8" s="3">
        <v>13955.999999999991</v>
      </c>
      <c r="C8">
        <v>13816.439999999993</v>
      </c>
      <c r="D8">
        <v>13676.879999999996</v>
      </c>
      <c r="E8">
        <v>13537.319999999998</v>
      </c>
      <c r="F8">
        <v>13397.76</v>
      </c>
      <c r="G8" s="3">
        <v>13258.200000000006</v>
      </c>
      <c r="H8">
        <v>13444.28000000001</v>
      </c>
      <c r="I8">
        <v>13630.360000000013</v>
      </c>
      <c r="J8">
        <v>13816.440000000017</v>
      </c>
      <c r="K8">
        <v>14002.52000000002</v>
      </c>
      <c r="L8" s="3">
        <v>14188.600000000028</v>
      </c>
      <c r="M8">
        <f>M$6*Tabella33374052[[#This Row],[2031%]]</f>
        <v>13815.486031363112</v>
      </c>
      <c r="N8">
        <f>N$6*Tabella33374052[[#This Row],[2032%]]</f>
        <v>13442.372062726199</v>
      </c>
      <c r="O8">
        <f>O$6*Tabella33374052[[#This Row],[2033%]]</f>
        <v>13069.258094089286</v>
      </c>
      <c r="P8">
        <f>P$6*Tabella33374052[[#This Row],[2034%]]</f>
        <v>12696.144125452374</v>
      </c>
      <c r="Q8">
        <f>Q$6*Tabella33374052[[#This Row],[2035%]]</f>
        <v>12323.030156815463</v>
      </c>
      <c r="R8">
        <f>R$6*Tabella33374052[[#This Row],[2036%]]</f>
        <v>11949.916188178549</v>
      </c>
      <c r="S8">
        <f>S$6*Tabella33374052[[#This Row],[2037%]]</f>
        <v>11576.802219541638</v>
      </c>
      <c r="T8">
        <f>T$6*Tabella33374052[[#This Row],[2038%]]</f>
        <v>11203.688250904726</v>
      </c>
      <c r="U8">
        <f>U$6*Tabella33374052[[#This Row],[2039%]]</f>
        <v>10830.574282267813</v>
      </c>
      <c r="V8">
        <f>V$6*Tabella33374052[[#This Row],[2040%]]</f>
        <v>10457.460313630902</v>
      </c>
      <c r="W8">
        <f>W$6*Tabella33374052[[#This Row],[2041%]]</f>
        <v>10457.460313630902</v>
      </c>
      <c r="X8">
        <f>X$6*Tabella33374052[[#This Row],[2042%]]</f>
        <v>10457.460313630902</v>
      </c>
      <c r="Y8">
        <f>Y$6*Tabella33374052[[#This Row],[2043%]]</f>
        <v>10457.460313630902</v>
      </c>
      <c r="Z8">
        <f>Z$6*Tabella33374052[[#This Row],[2044%]]</f>
        <v>10457.460313630902</v>
      </c>
      <c r="AA8">
        <f>AA$6*Tabella33374052[[#This Row],[2045%]]</f>
        <v>10457.460313630902</v>
      </c>
      <c r="AB8">
        <v>3.9215686274509776E-2</v>
      </c>
      <c r="AC8">
        <v>3.9457951375049802E-2</v>
      </c>
      <c r="AD8">
        <v>3.9708265802269035E-2</v>
      </c>
      <c r="AE8">
        <v>3.996703749484961E-2</v>
      </c>
      <c r="AF8">
        <v>4.0234702430846613E-2</v>
      </c>
      <c r="AG8">
        <v>4.0511727078891273E-2</v>
      </c>
      <c r="AH8">
        <v>4.2057774867205154E-2</v>
      </c>
      <c r="AI8">
        <v>4.3679189028026283E-2</v>
      </c>
      <c r="AJ8">
        <v>4.5381618152647324E-2</v>
      </c>
      <c r="AK8">
        <v>4.7171289766494359E-2</v>
      </c>
      <c r="AL8">
        <v>4.9055086449537683E-2</v>
      </c>
      <c r="AM8">
        <v>4.9055086449537683E-2</v>
      </c>
      <c r="AN8">
        <v>4.9055086449537683E-2</v>
      </c>
      <c r="AO8">
        <v>4.9055086449537683E-2</v>
      </c>
      <c r="AP8">
        <v>4.9055086449537683E-2</v>
      </c>
      <c r="AQ8">
        <v>4.9055086449537683E-2</v>
      </c>
      <c r="AR8">
        <v>4.9055086449537683E-2</v>
      </c>
      <c r="AS8">
        <v>4.9055086449537683E-2</v>
      </c>
      <c r="AT8">
        <v>4.9055086449537683E-2</v>
      </c>
      <c r="AU8">
        <v>4.9055086449537683E-2</v>
      </c>
      <c r="AV8">
        <v>4.9055086449537683E-2</v>
      </c>
      <c r="AW8">
        <v>4.9055086449537683E-2</v>
      </c>
      <c r="AX8">
        <v>4.9055086449537683E-2</v>
      </c>
      <c r="AY8">
        <v>4.9055086449537683E-2</v>
      </c>
      <c r="AZ8">
        <v>4.9055086449537683E-2</v>
      </c>
      <c r="BA8">
        <v>4.9055086449537683E-2</v>
      </c>
    </row>
    <row r="9" spans="1:53" x14ac:dyDescent="0.35">
      <c r="A9" t="s">
        <v>11</v>
      </c>
      <c r="B9" s="3">
        <v>65825.8</v>
      </c>
      <c r="C9">
        <v>66407.3</v>
      </c>
      <c r="D9">
        <v>66988.800000000003</v>
      </c>
      <c r="E9">
        <v>67570.3</v>
      </c>
      <c r="F9">
        <v>68151.8</v>
      </c>
      <c r="G9" s="3">
        <v>68733.3</v>
      </c>
      <c r="H9">
        <v>68058.759999999995</v>
      </c>
      <c r="I9">
        <v>67384.219999999987</v>
      </c>
      <c r="J9">
        <v>66709.679999999978</v>
      </c>
      <c r="K9">
        <v>66035.13999999997</v>
      </c>
      <c r="L9" s="3">
        <v>65360.599999999991</v>
      </c>
      <c r="M9">
        <f>M$6*Tabella33374052[[#This Row],[2031%]]</f>
        <v>63641.829095295529</v>
      </c>
      <c r="N9">
        <f>N$6*Tabella33374052[[#This Row],[2032%]]</f>
        <v>61923.058190591059</v>
      </c>
      <c r="O9">
        <f>O$6*Tabella33374052[[#This Row],[2033%]]</f>
        <v>60204.287285886589</v>
      </c>
      <c r="P9">
        <f>P$6*Tabella33374052[[#This Row],[2034%]]</f>
        <v>58485.516381182133</v>
      </c>
      <c r="Q9">
        <f>Q$6*Tabella33374052[[#This Row],[2035%]]</f>
        <v>56766.74547647767</v>
      </c>
      <c r="R9">
        <f>R$6*Tabella33374052[[#This Row],[2036%]]</f>
        <v>55047.974571773208</v>
      </c>
      <c r="S9">
        <f>S$6*Tabella33374052[[#This Row],[2037%]]</f>
        <v>53329.203667068752</v>
      </c>
      <c r="T9">
        <f>T$6*Tabella33374052[[#This Row],[2038%]]</f>
        <v>51610.432762364289</v>
      </c>
      <c r="U9">
        <f>U$6*Tabella33374052[[#This Row],[2039%]]</f>
        <v>49891.661857659827</v>
      </c>
      <c r="V9">
        <f>V$6*Tabella33374052[[#This Row],[2040%]]</f>
        <v>48172.890952955371</v>
      </c>
      <c r="W9">
        <f>W$6*Tabella33374052[[#This Row],[2041%]]</f>
        <v>48172.890952955371</v>
      </c>
      <c r="X9">
        <f>X$6*Tabella33374052[[#This Row],[2042%]]</f>
        <v>48172.890952955371</v>
      </c>
      <c r="Y9">
        <f>Y$6*Tabella33374052[[#This Row],[2043%]]</f>
        <v>48172.890952955371</v>
      </c>
      <c r="Z9">
        <f>Z$6*Tabella33374052[[#This Row],[2044%]]</f>
        <v>48172.890952955371</v>
      </c>
      <c r="AA9">
        <f>AA$6*Tabella33374052[[#This Row],[2045%]]</f>
        <v>48172.890952955371</v>
      </c>
      <c r="AB9">
        <v>0.18496732026143792</v>
      </c>
      <c r="AC9">
        <v>0.18965059120499536</v>
      </c>
      <c r="AD9">
        <v>0.19448946515397086</v>
      </c>
      <c r="AE9">
        <v>0.19949182804559817</v>
      </c>
      <c r="AF9">
        <v>0.20466610785135519</v>
      </c>
      <c r="AG9">
        <v>0.21002132196162046</v>
      </c>
      <c r="AH9">
        <v>0.21290838972567852</v>
      </c>
      <c r="AI9">
        <v>0.21593619558735835</v>
      </c>
      <c r="AJ9">
        <v>0.21911528764611501</v>
      </c>
      <c r="AK9">
        <v>0.22245729509481268</v>
      </c>
      <c r="AL9">
        <v>0.22597507036590264</v>
      </c>
      <c r="AM9">
        <v>0.22597507036590264</v>
      </c>
      <c r="AN9">
        <v>0.22597507036590264</v>
      </c>
      <c r="AO9">
        <v>0.22597507036590264</v>
      </c>
      <c r="AP9">
        <v>0.22597507036590264</v>
      </c>
      <c r="AQ9">
        <v>0.22597507036590264</v>
      </c>
      <c r="AR9">
        <v>0.22597507036590264</v>
      </c>
      <c r="AS9">
        <v>0.22597507036590264</v>
      </c>
      <c r="AT9">
        <v>0.22597507036590264</v>
      </c>
      <c r="AU9">
        <v>0.22597507036590264</v>
      </c>
      <c r="AV9">
        <v>0.22597507036590264</v>
      </c>
      <c r="AW9">
        <v>0.22597507036590264</v>
      </c>
      <c r="AX9">
        <v>0.22597507036590264</v>
      </c>
      <c r="AY9">
        <v>0.22597507036590264</v>
      </c>
      <c r="AZ9">
        <v>0.22597507036590264</v>
      </c>
      <c r="BA9">
        <v>0.22597507036590264</v>
      </c>
    </row>
    <row r="10" spans="1:53" x14ac:dyDescent="0.35">
      <c r="A10" t="s">
        <v>9</v>
      </c>
      <c r="B10" s="3">
        <v>184800.7</v>
      </c>
      <c r="C10">
        <v>179660.24000000002</v>
      </c>
      <c r="D10">
        <v>174519.78000000003</v>
      </c>
      <c r="E10">
        <v>169379.32000000004</v>
      </c>
      <c r="F10">
        <v>164238.86000000004</v>
      </c>
      <c r="G10" s="3">
        <v>159098.4</v>
      </c>
      <c r="H10">
        <v>151283.04</v>
      </c>
      <c r="I10">
        <v>143467.68000000002</v>
      </c>
      <c r="J10">
        <v>135652.32000000004</v>
      </c>
      <c r="K10">
        <v>127836.96000000004</v>
      </c>
      <c r="L10" s="3">
        <v>120021.6</v>
      </c>
      <c r="M10">
        <f>M$6*Tabella33374052[[#This Row],[2031%]]</f>
        <v>116865.42282267792</v>
      </c>
      <c r="N10">
        <f>N$6*Tabella33374052[[#This Row],[2032%]]</f>
        <v>113709.24564535584</v>
      </c>
      <c r="O10">
        <f>O$6*Tabella33374052[[#This Row],[2033%]]</f>
        <v>110553.06846803376</v>
      </c>
      <c r="P10">
        <f>P$6*Tabella33374052[[#This Row],[2034%]]</f>
        <v>107396.89129071169</v>
      </c>
      <c r="Q10">
        <f>Q$6*Tabella33374052[[#This Row],[2035%]]</f>
        <v>104240.71411338962</v>
      </c>
      <c r="R10">
        <f>R$6*Tabella33374052[[#This Row],[2036%]]</f>
        <v>101084.53693606754</v>
      </c>
      <c r="S10">
        <f>S$6*Tabella33374052[[#This Row],[2037%]]</f>
        <v>97928.359758745471</v>
      </c>
      <c r="T10">
        <f>T$6*Tabella33374052[[#This Row],[2038%]]</f>
        <v>94772.182581423403</v>
      </c>
      <c r="U10">
        <f>U$6*Tabella33374052[[#This Row],[2039%]]</f>
        <v>91616.005404101335</v>
      </c>
      <c r="V10">
        <f>V$6*Tabella33374052[[#This Row],[2040%]]</f>
        <v>88459.828226779267</v>
      </c>
      <c r="W10">
        <f>W$6*Tabella33374052[[#This Row],[2041%]]</f>
        <v>88459.828226779267</v>
      </c>
      <c r="X10">
        <f>X$6*Tabella33374052[[#This Row],[2042%]]</f>
        <v>88459.828226779267</v>
      </c>
      <c r="Y10">
        <f>Y$6*Tabella33374052[[#This Row],[2043%]]</f>
        <v>88459.828226779267</v>
      </c>
      <c r="Z10">
        <f>Z$6*Tabella33374052[[#This Row],[2044%]]</f>
        <v>88459.828226779267</v>
      </c>
      <c r="AA10">
        <f>AA$6*Tabella33374052[[#This Row],[2045%]]</f>
        <v>88459.828226779267</v>
      </c>
      <c r="AB10">
        <v>0.51928104575163403</v>
      </c>
      <c r="AC10">
        <v>0.51308622293078265</v>
      </c>
      <c r="AD10">
        <v>0.50668557536466785</v>
      </c>
      <c r="AE10">
        <v>0.50006867188573023</v>
      </c>
      <c r="AF10">
        <v>0.49322436434758338</v>
      </c>
      <c r="AG10">
        <v>0.48614072494669508</v>
      </c>
      <c r="AH10">
        <v>0.47325911373062651</v>
      </c>
      <c r="AI10">
        <v>0.45974955277280871</v>
      </c>
      <c r="AJ10">
        <v>0.44556497822599145</v>
      </c>
      <c r="AK10">
        <v>0.43065350258580182</v>
      </c>
      <c r="AL10">
        <v>0.41495778045838355</v>
      </c>
      <c r="AM10">
        <v>0.41495778045838355</v>
      </c>
      <c r="AN10">
        <v>0.41495778045838355</v>
      </c>
      <c r="AO10">
        <v>0.41495778045838355</v>
      </c>
      <c r="AP10">
        <v>0.41495778045838355</v>
      </c>
      <c r="AQ10">
        <v>0.41495778045838355</v>
      </c>
      <c r="AR10">
        <v>0.41495778045838355</v>
      </c>
      <c r="AS10">
        <v>0.41495778045838355</v>
      </c>
      <c r="AT10">
        <v>0.41495778045838355</v>
      </c>
      <c r="AU10">
        <v>0.41495778045838355</v>
      </c>
      <c r="AV10">
        <v>0.41495778045838355</v>
      </c>
      <c r="AW10">
        <v>0.41495778045838355</v>
      </c>
      <c r="AX10">
        <v>0.41495778045838355</v>
      </c>
      <c r="AY10">
        <v>0.41495778045838355</v>
      </c>
      <c r="AZ10">
        <v>0.41495778045838355</v>
      </c>
      <c r="BA10">
        <v>0.41495778045838355</v>
      </c>
    </row>
    <row r="11" spans="1:53" x14ac:dyDescent="0.35">
      <c r="A11" t="s">
        <v>10</v>
      </c>
      <c r="B11" s="3">
        <v>18956.899999999998</v>
      </c>
      <c r="C11">
        <v>17607.82</v>
      </c>
      <c r="D11">
        <v>16258.74</v>
      </c>
      <c r="E11">
        <v>14909.66</v>
      </c>
      <c r="F11">
        <v>13560.58</v>
      </c>
      <c r="G11" s="3">
        <v>12211.5</v>
      </c>
      <c r="H11">
        <v>10420.48</v>
      </c>
      <c r="I11">
        <v>8629.4599999999991</v>
      </c>
      <c r="J11">
        <v>6838.4399999999987</v>
      </c>
      <c r="K11">
        <v>5047.4199999999983</v>
      </c>
      <c r="L11" s="3">
        <v>3256.4</v>
      </c>
      <c r="M11">
        <f>M$6*Tabella33374052[[#This Row],[2031%]]</f>
        <v>3170.7672858866104</v>
      </c>
      <c r="N11">
        <f>N$6*Tabella33374052[[#This Row],[2032%]]</f>
        <v>3085.1345717732206</v>
      </c>
      <c r="O11">
        <f>O$6*Tabella33374052[[#This Row],[2033%]]</f>
        <v>2999.5018576598309</v>
      </c>
      <c r="P11">
        <f>P$6*Tabella33374052[[#This Row],[2034%]]</f>
        <v>2913.8691435464411</v>
      </c>
      <c r="Q11">
        <f>Q$6*Tabella33374052[[#This Row],[2035%]]</f>
        <v>2828.2364294330519</v>
      </c>
      <c r="R11">
        <f>R$6*Tabella33374052[[#This Row],[2036%]]</f>
        <v>2742.6037153196621</v>
      </c>
      <c r="S11">
        <f>S$6*Tabella33374052[[#This Row],[2037%]]</f>
        <v>2656.9710012062728</v>
      </c>
      <c r="T11">
        <f>T$6*Tabella33374052[[#This Row],[2038%]]</f>
        <v>2571.3382870928831</v>
      </c>
      <c r="U11">
        <f>U$6*Tabella33374052[[#This Row],[2039%]]</f>
        <v>2485.7055729794938</v>
      </c>
      <c r="V11">
        <f>V$6*Tabella33374052[[#This Row],[2040%]]</f>
        <v>2400.0728588661041</v>
      </c>
      <c r="W11">
        <f>W$6*Tabella33374052[[#This Row],[2041%]]</f>
        <v>2400.0728588661041</v>
      </c>
      <c r="X11">
        <f>X$6*Tabella33374052[[#This Row],[2042%]]</f>
        <v>2400.0728588661041</v>
      </c>
      <c r="Y11">
        <f>Y$6*Tabella33374052[[#This Row],[2043%]]</f>
        <v>2400.0728588661041</v>
      </c>
      <c r="Z11">
        <f>Z$6*Tabella33374052[[#This Row],[2044%]]</f>
        <v>2400.0728588661041</v>
      </c>
      <c r="AA11">
        <f>AA$6*Tabella33374052[[#This Row],[2045%]]</f>
        <v>2400.0728588661041</v>
      </c>
      <c r="AB11">
        <v>5.3267973856209141E-2</v>
      </c>
      <c r="AC11">
        <v>5.0285638368539928E-2</v>
      </c>
      <c r="AD11">
        <v>4.7204213938411677E-2</v>
      </c>
      <c r="AE11">
        <v>4.4018678752918566E-2</v>
      </c>
      <c r="AF11">
        <v>4.0723665828443709E-2</v>
      </c>
      <c r="AG11">
        <v>3.7313432835820892E-2</v>
      </c>
      <c r="AH11">
        <v>3.2598413737902933E-2</v>
      </c>
      <c r="AI11">
        <v>2.765354800238521E-2</v>
      </c>
      <c r="AJ11">
        <v>2.2461608984643593E-2</v>
      </c>
      <c r="AK11">
        <v>1.7003604450713052E-2</v>
      </c>
      <c r="AL11">
        <v>1.1258544431041415E-2</v>
      </c>
      <c r="AM11">
        <v>1.1258544431041415E-2</v>
      </c>
      <c r="AN11">
        <v>1.1258544431041415E-2</v>
      </c>
      <c r="AO11">
        <v>1.1258544431041415E-2</v>
      </c>
      <c r="AP11">
        <v>1.1258544431041415E-2</v>
      </c>
      <c r="AQ11">
        <v>1.1258544431041415E-2</v>
      </c>
      <c r="AR11">
        <v>1.1258544431041415E-2</v>
      </c>
      <c r="AS11">
        <v>1.1258544431041415E-2</v>
      </c>
      <c r="AT11">
        <v>1.1258544431041415E-2</v>
      </c>
      <c r="AU11">
        <v>1.1258544431041415E-2</v>
      </c>
      <c r="AV11">
        <v>1.1258544431041415E-2</v>
      </c>
      <c r="AW11">
        <v>1.1258544431041415E-2</v>
      </c>
      <c r="AX11">
        <v>1.1258544431041415E-2</v>
      </c>
      <c r="AY11">
        <v>1.1258544431041415E-2</v>
      </c>
      <c r="AZ11">
        <v>1.1258544431041415E-2</v>
      </c>
      <c r="BA11">
        <v>1.1258544431041415E-2</v>
      </c>
    </row>
    <row r="13" spans="1:53" x14ac:dyDescent="0.35">
      <c r="A13" s="3" t="s">
        <v>5</v>
      </c>
      <c r="B13" s="3">
        <v>287493.59999999998</v>
      </c>
      <c r="C13">
        <v>287447.07999999996</v>
      </c>
      <c r="D13">
        <v>287400.55999999994</v>
      </c>
      <c r="E13">
        <v>287354.03999999992</v>
      </c>
      <c r="F13">
        <v>287307.5199999999</v>
      </c>
      <c r="G13" s="3">
        <v>287261</v>
      </c>
      <c r="H13">
        <v>284772.18</v>
      </c>
      <c r="I13">
        <v>282283.36</v>
      </c>
      <c r="J13">
        <v>279794.53999999998</v>
      </c>
      <c r="K13">
        <v>277305.71999999997</v>
      </c>
      <c r="L13" s="3">
        <v>274816.89999999997</v>
      </c>
      <c r="M13">
        <v>272328.07999999996</v>
      </c>
      <c r="N13">
        <v>269839.25999999995</v>
      </c>
      <c r="O13">
        <v>267350.43999999994</v>
      </c>
      <c r="P13">
        <v>264861.61999999994</v>
      </c>
      <c r="Q13">
        <v>262372.79999999993</v>
      </c>
      <c r="R13">
        <v>259883.97999999992</v>
      </c>
      <c r="S13">
        <v>257395.15999999992</v>
      </c>
      <c r="T13">
        <v>254906.33999999991</v>
      </c>
      <c r="U13">
        <v>252417.5199999999</v>
      </c>
      <c r="V13">
        <v>249928.6999999999</v>
      </c>
      <c r="W13">
        <v>249928.6999999999</v>
      </c>
      <c r="X13">
        <v>249928.6999999999</v>
      </c>
      <c r="Y13">
        <v>249928.6999999999</v>
      </c>
      <c r="Z13">
        <v>249928.6999999999</v>
      </c>
      <c r="AA13">
        <v>249928.6999999999</v>
      </c>
      <c r="AB13">
        <v>1</v>
      </c>
      <c r="AC13">
        <v>1</v>
      </c>
      <c r="AD13">
        <v>1</v>
      </c>
      <c r="AE13">
        <v>1.0000000000000002</v>
      </c>
      <c r="AF13">
        <v>1.0000000000000002</v>
      </c>
      <c r="AG13">
        <v>1.0000000000000002</v>
      </c>
      <c r="AH13">
        <v>1</v>
      </c>
      <c r="AI13">
        <v>1</v>
      </c>
      <c r="AJ13">
        <v>1</v>
      </c>
      <c r="AK13">
        <v>1</v>
      </c>
      <c r="AL13">
        <v>0.99999999999999989</v>
      </c>
      <c r="AM13">
        <v>0.99999999999999989</v>
      </c>
      <c r="AN13">
        <v>0.99999999999999989</v>
      </c>
      <c r="AO13">
        <v>0.99999999999999989</v>
      </c>
      <c r="AP13">
        <v>0.99999999999999989</v>
      </c>
      <c r="AQ13">
        <v>0.99999999999999989</v>
      </c>
      <c r="AR13">
        <v>0.99999999999999989</v>
      </c>
      <c r="AS13">
        <v>0.99999999999999989</v>
      </c>
      <c r="AT13">
        <v>0.99999999999999989</v>
      </c>
      <c r="AU13">
        <v>0.99999999999999989</v>
      </c>
      <c r="AV13">
        <v>0.99999999999999989</v>
      </c>
      <c r="AW13">
        <v>0.99999999999999989</v>
      </c>
      <c r="AX13">
        <v>0.99999999999999989</v>
      </c>
      <c r="AY13">
        <v>0.99999999999999989</v>
      </c>
      <c r="AZ13">
        <v>0.99999999999999989</v>
      </c>
      <c r="BA13">
        <v>0.99999999999999989</v>
      </c>
    </row>
    <row r="14" spans="1:53" x14ac:dyDescent="0.35">
      <c r="A14" t="s">
        <v>13</v>
      </c>
      <c r="B14" s="3">
        <v>6629.1000000000031</v>
      </c>
      <c r="C14">
        <v>7024.5199999999986</v>
      </c>
      <c r="D14">
        <v>7419.9399999999941</v>
      </c>
      <c r="E14">
        <v>7815.3599999999897</v>
      </c>
      <c r="F14">
        <v>8210.7799999999861</v>
      </c>
      <c r="G14" s="3">
        <v>8606.1999999999825</v>
      </c>
      <c r="H14">
        <v>9443.5599999999813</v>
      </c>
      <c r="I14">
        <v>10280.91999999998</v>
      </c>
      <c r="J14">
        <v>11118.279999999979</v>
      </c>
      <c r="K14">
        <v>11955.639999999978</v>
      </c>
      <c r="L14" s="3">
        <v>12792.999999999975</v>
      </c>
      <c r="M14">
        <f>M$13*Tabella33374052[[#This Row],[2031%]]</f>
        <v>12677.142953872171</v>
      </c>
      <c r="N14">
        <f>N$13*Tabella33374052[[#This Row],[2032%]]</f>
        <v>12561.285907744366</v>
      </c>
      <c r="O14">
        <f>O$13*Tabella33374052[[#This Row],[2033%]]</f>
        <v>12445.428861616563</v>
      </c>
      <c r="P14">
        <f>P$13*Tabella33374052[[#This Row],[2034%]]</f>
        <v>12329.57181548876</v>
      </c>
      <c r="Q14">
        <f>Q$13*Tabella33374052[[#This Row],[2035%]]</f>
        <v>12213.714769360955</v>
      </c>
      <c r="R14">
        <f>R$13*Tabella33374052[[#This Row],[2036%]]</f>
        <v>12097.857723233152</v>
      </c>
      <c r="S14">
        <f>S$13*Tabella33374052[[#This Row],[2037%]]</f>
        <v>11982.000677105349</v>
      </c>
      <c r="T14">
        <f>T$13*Tabella33374052[[#This Row],[2038%]]</f>
        <v>11866.143630977545</v>
      </c>
      <c r="U14">
        <f>U$13*Tabella33374052[[#This Row],[2039%]]</f>
        <v>11750.28658484974</v>
      </c>
      <c r="V14">
        <f>V$13*Tabella33374052[[#This Row],[2040%]]</f>
        <v>11634.429538721937</v>
      </c>
      <c r="W14">
        <f>W$13*Tabella33374052[[#This Row],[2041%]]</f>
        <v>11634.429538721937</v>
      </c>
      <c r="X14">
        <f>X$13*Tabella33374052[[#This Row],[2042%]]</f>
        <v>11634.429538721937</v>
      </c>
      <c r="Y14">
        <f>Y$13*Tabella33374052[[#This Row],[2043%]]</f>
        <v>11634.429538721937</v>
      </c>
      <c r="Z14">
        <f>Z$13*Tabella33374052[[#This Row],[2044%]]</f>
        <v>11634.429538721937</v>
      </c>
      <c r="AA14">
        <f>AA$13*Tabella33374052[[#This Row],[2045%]]</f>
        <v>11634.429538721937</v>
      </c>
      <c r="AB14">
        <v>2.305825242718448E-2</v>
      </c>
      <c r="AC14">
        <v>2.4437611263958568E-2</v>
      </c>
      <c r="AD14">
        <v>2.5817416639689204E-2</v>
      </c>
      <c r="AE14">
        <v>2.719766877124815E-2</v>
      </c>
      <c r="AF14">
        <v>2.8578367875647631E-2</v>
      </c>
      <c r="AG14">
        <v>2.9959514170040426E-2</v>
      </c>
      <c r="AH14">
        <v>3.316180674671234E-2</v>
      </c>
      <c r="AI14">
        <v>3.642056690837172E-2</v>
      </c>
      <c r="AJ14">
        <v>3.9737301521323397E-2</v>
      </c>
      <c r="AK14">
        <v>4.3113571548397844E-2</v>
      </c>
      <c r="AL14">
        <v>4.6550994498518745E-2</v>
      </c>
      <c r="AM14">
        <v>4.6550994498518745E-2</v>
      </c>
      <c r="AN14">
        <v>4.6550994498518745E-2</v>
      </c>
      <c r="AO14">
        <v>4.6550994498518745E-2</v>
      </c>
      <c r="AP14">
        <v>4.6550994498518745E-2</v>
      </c>
      <c r="AQ14">
        <v>4.6550994498518745E-2</v>
      </c>
      <c r="AR14">
        <v>4.6550994498518745E-2</v>
      </c>
      <c r="AS14">
        <v>4.6550994498518745E-2</v>
      </c>
      <c r="AT14">
        <v>4.6550994498518745E-2</v>
      </c>
      <c r="AU14">
        <v>4.6550994498518745E-2</v>
      </c>
      <c r="AV14">
        <v>4.6550994498518745E-2</v>
      </c>
      <c r="AW14">
        <v>4.6550994498518745E-2</v>
      </c>
      <c r="AX14">
        <v>4.6550994498518745E-2</v>
      </c>
      <c r="AY14">
        <v>4.6550994498518745E-2</v>
      </c>
      <c r="AZ14">
        <v>4.6550994498518745E-2</v>
      </c>
      <c r="BA14">
        <v>4.6550994498518745E-2</v>
      </c>
    </row>
    <row r="15" spans="1:53" x14ac:dyDescent="0.35">
      <c r="A15" t="s">
        <v>12</v>
      </c>
      <c r="B15" s="3">
        <v>34308.499999999993</v>
      </c>
      <c r="C15">
        <v>34541.1</v>
      </c>
      <c r="D15">
        <v>34773.700000000004</v>
      </c>
      <c r="E15">
        <v>35006.30000000001</v>
      </c>
      <c r="F15">
        <v>35238.900000000016</v>
      </c>
      <c r="G15" s="3">
        <v>35471.500000000007</v>
      </c>
      <c r="H15">
        <v>34634.140000000007</v>
      </c>
      <c r="I15">
        <v>33796.780000000006</v>
      </c>
      <c r="J15">
        <v>32959.420000000006</v>
      </c>
      <c r="K15">
        <v>32122.060000000009</v>
      </c>
      <c r="L15" s="3">
        <v>31284.700000000015</v>
      </c>
      <c r="M15">
        <f>M$13*Tabella33374052[[#This Row],[2031%]]</f>
        <v>31001.376859923839</v>
      </c>
      <c r="N15">
        <f>N$13*Tabella33374052[[#This Row],[2032%]]</f>
        <v>30718.053719847663</v>
      </c>
      <c r="O15">
        <f>O$13*Tabella33374052[[#This Row],[2033%]]</f>
        <v>30434.730579771487</v>
      </c>
      <c r="P15">
        <f>P$13*Tabella33374052[[#This Row],[2034%]]</f>
        <v>30151.407439695311</v>
      </c>
      <c r="Q15">
        <f>Q$13*Tabella33374052[[#This Row],[2035%]]</f>
        <v>29868.084299619139</v>
      </c>
      <c r="R15">
        <f>R$13*Tabella33374052[[#This Row],[2036%]]</f>
        <v>29584.761159542963</v>
      </c>
      <c r="S15">
        <f>S$13*Tabella33374052[[#This Row],[2037%]]</f>
        <v>29301.438019466786</v>
      </c>
      <c r="T15">
        <f>T$13*Tabella33374052[[#This Row],[2038%]]</f>
        <v>29018.11487939061</v>
      </c>
      <c r="U15">
        <f>U$13*Tabella33374052[[#This Row],[2039%]]</f>
        <v>28734.791739314434</v>
      </c>
      <c r="V15">
        <f>V$13*Tabella33374052[[#This Row],[2040%]]</f>
        <v>28451.468599238262</v>
      </c>
      <c r="W15">
        <f>W$13*Tabella33374052[[#This Row],[2041%]]</f>
        <v>28451.468599238262</v>
      </c>
      <c r="X15">
        <f>X$13*Tabella33374052[[#This Row],[2042%]]</f>
        <v>28451.468599238262</v>
      </c>
      <c r="Y15">
        <f>Y$13*Tabella33374052[[#This Row],[2043%]]</f>
        <v>28451.468599238262</v>
      </c>
      <c r="Z15">
        <f>Z$13*Tabella33374052[[#This Row],[2044%]]</f>
        <v>28451.468599238262</v>
      </c>
      <c r="AA15">
        <f>AA$13*Tabella33374052[[#This Row],[2045%]]</f>
        <v>28451.468599238262</v>
      </c>
      <c r="AB15">
        <v>0.11933656957928801</v>
      </c>
      <c r="AC15">
        <v>0.12016507525489563</v>
      </c>
      <c r="AD15">
        <v>0.12099384914211724</v>
      </c>
      <c r="AE15">
        <v>0.12182289137121587</v>
      </c>
      <c r="AF15">
        <v>0.12265220207253896</v>
      </c>
      <c r="AG15">
        <v>0.12348178137651825</v>
      </c>
      <c r="AH15">
        <v>0.12162051784693297</v>
      </c>
      <c r="AI15">
        <v>0.11972643375082402</v>
      </c>
      <c r="AJ15">
        <v>0.11779865325463466</v>
      </c>
      <c r="AK15">
        <v>0.11583626908236877</v>
      </c>
      <c r="AL15">
        <v>0.11383834109183248</v>
      </c>
      <c r="AM15">
        <v>0.11383834109183248</v>
      </c>
      <c r="AN15">
        <v>0.11383834109183248</v>
      </c>
      <c r="AO15">
        <v>0.11383834109183248</v>
      </c>
      <c r="AP15">
        <v>0.11383834109183248</v>
      </c>
      <c r="AQ15">
        <v>0.11383834109183248</v>
      </c>
      <c r="AR15">
        <v>0.11383834109183248</v>
      </c>
      <c r="AS15">
        <v>0.11383834109183248</v>
      </c>
      <c r="AT15">
        <v>0.11383834109183248</v>
      </c>
      <c r="AU15">
        <v>0.11383834109183248</v>
      </c>
      <c r="AV15">
        <v>0.11383834109183248</v>
      </c>
      <c r="AW15">
        <v>0.11383834109183248</v>
      </c>
      <c r="AX15">
        <v>0.11383834109183248</v>
      </c>
      <c r="AY15">
        <v>0.11383834109183248</v>
      </c>
      <c r="AZ15">
        <v>0.11383834109183248</v>
      </c>
      <c r="BA15">
        <v>0.11383834109183248</v>
      </c>
    </row>
    <row r="16" spans="1:53" x14ac:dyDescent="0.35">
      <c r="A16" t="s">
        <v>11</v>
      </c>
      <c r="B16" s="3">
        <v>111066.49999999999</v>
      </c>
      <c r="C16">
        <v>111113.01999999999</v>
      </c>
      <c r="D16">
        <v>111159.54</v>
      </c>
      <c r="E16">
        <v>111206.06</v>
      </c>
      <c r="F16">
        <v>111252.58</v>
      </c>
      <c r="G16" s="3">
        <v>111299.1</v>
      </c>
      <c r="H16">
        <v>111136.28</v>
      </c>
      <c r="I16">
        <v>110973.45999999999</v>
      </c>
      <c r="J16">
        <v>110810.63999999998</v>
      </c>
      <c r="K16">
        <v>110647.81999999998</v>
      </c>
      <c r="L16" s="3">
        <v>110485</v>
      </c>
      <c r="M16">
        <f>M$13*Tabella33374052[[#This Row],[2031%]]</f>
        <v>109484.41641980533</v>
      </c>
      <c r="N16">
        <f>N$13*Tabella33374052[[#This Row],[2032%]]</f>
        <v>108483.83283961067</v>
      </c>
      <c r="O16">
        <f>O$13*Tabella33374052[[#This Row],[2033%]]</f>
        <v>107483.24925941598</v>
      </c>
      <c r="P16">
        <f>P$13*Tabella33374052[[#This Row],[2034%]]</f>
        <v>106482.66567922132</v>
      </c>
      <c r="Q16">
        <f>Q$13*Tabella33374052[[#This Row],[2035%]]</f>
        <v>105482.08209902665</v>
      </c>
      <c r="R16">
        <f>R$13*Tabella33374052[[#This Row],[2036%]]</f>
        <v>104481.49851883198</v>
      </c>
      <c r="S16">
        <f>S$13*Tabella33374052[[#This Row],[2037%]]</f>
        <v>103480.9149386373</v>
      </c>
      <c r="T16">
        <f>T$13*Tabella33374052[[#This Row],[2038%]]</f>
        <v>102480.33135844264</v>
      </c>
      <c r="U16">
        <f>U$13*Tabella33374052[[#This Row],[2039%]]</f>
        <v>101479.74777824797</v>
      </c>
      <c r="V16">
        <f>V$13*Tabella33374052[[#This Row],[2040%]]</f>
        <v>100479.1641980533</v>
      </c>
      <c r="W16">
        <f>W$13*Tabella33374052[[#This Row],[2041%]]</f>
        <v>100479.1641980533</v>
      </c>
      <c r="X16">
        <f>X$13*Tabella33374052[[#This Row],[2042%]]</f>
        <v>100479.1641980533</v>
      </c>
      <c r="Y16">
        <f>Y$13*Tabella33374052[[#This Row],[2043%]]</f>
        <v>100479.1641980533</v>
      </c>
      <c r="Z16">
        <f>Z$13*Tabella33374052[[#This Row],[2044%]]</f>
        <v>100479.1641980533</v>
      </c>
      <c r="AA16">
        <f>AA$13*Tabella33374052[[#This Row],[2045%]]</f>
        <v>100479.1641980533</v>
      </c>
      <c r="AB16">
        <v>0.38632686084142392</v>
      </c>
      <c r="AC16">
        <v>0.38655122188056323</v>
      </c>
      <c r="AD16">
        <v>0.38677565555195864</v>
      </c>
      <c r="AE16">
        <v>0.38700016189088565</v>
      </c>
      <c r="AF16">
        <v>0.38722474093264264</v>
      </c>
      <c r="AG16">
        <v>0.38744939271255063</v>
      </c>
      <c r="AH16">
        <v>0.39026382422608841</v>
      </c>
      <c r="AI16">
        <v>0.39312788398154253</v>
      </c>
      <c r="AJ16">
        <v>0.39604289633385981</v>
      </c>
      <c r="AK16">
        <v>0.3990102331823519</v>
      </c>
      <c r="AL16">
        <v>0.40203131612357179</v>
      </c>
      <c r="AM16">
        <v>0.40203131612357179</v>
      </c>
      <c r="AN16">
        <v>0.40203131612357179</v>
      </c>
      <c r="AO16">
        <v>0.40203131612357179</v>
      </c>
      <c r="AP16">
        <v>0.40203131612357179</v>
      </c>
      <c r="AQ16">
        <v>0.40203131612357179</v>
      </c>
      <c r="AR16">
        <v>0.40203131612357179</v>
      </c>
      <c r="AS16">
        <v>0.40203131612357179</v>
      </c>
      <c r="AT16">
        <v>0.40203131612357179</v>
      </c>
      <c r="AU16">
        <v>0.40203131612357179</v>
      </c>
      <c r="AV16">
        <v>0.40203131612357179</v>
      </c>
      <c r="AW16">
        <v>0.40203131612357179</v>
      </c>
      <c r="AX16">
        <v>0.40203131612357179</v>
      </c>
      <c r="AY16">
        <v>0.40203131612357179</v>
      </c>
      <c r="AZ16">
        <v>0.40203131612357179</v>
      </c>
      <c r="BA16">
        <v>0.40203131612357179</v>
      </c>
    </row>
    <row r="17" spans="1:80" x14ac:dyDescent="0.35">
      <c r="A17" t="s">
        <v>9</v>
      </c>
      <c r="B17" s="3">
        <v>98273.499999999985</v>
      </c>
      <c r="C17">
        <v>97552.439999999988</v>
      </c>
      <c r="D17">
        <v>96831.37999999999</v>
      </c>
      <c r="E17">
        <v>96110.319999999992</v>
      </c>
      <c r="F17">
        <v>95389.26</v>
      </c>
      <c r="G17" s="3">
        <v>94668.200000000012</v>
      </c>
      <c r="H17">
        <v>93621.500000000015</v>
      </c>
      <c r="I17">
        <v>92574.800000000017</v>
      </c>
      <c r="J17">
        <v>91528.10000000002</v>
      </c>
      <c r="K17">
        <v>90481.400000000023</v>
      </c>
      <c r="L17" s="3">
        <v>89434.7</v>
      </c>
      <c r="M17">
        <f>M$13*Tabella33374052[[#This Row],[2031%]]</f>
        <v>88624.75392297926</v>
      </c>
      <c r="N17">
        <f>N$13*Tabella33374052[[#This Row],[2032%]]</f>
        <v>87814.807845958523</v>
      </c>
      <c r="O17">
        <f>O$13*Tabella33374052[[#This Row],[2033%]]</f>
        <v>87004.861768937772</v>
      </c>
      <c r="P17">
        <f>P$13*Tabella33374052[[#This Row],[2034%]]</f>
        <v>86194.915691917035</v>
      </c>
      <c r="Q17">
        <f>Q$13*Tabella33374052[[#This Row],[2035%]]</f>
        <v>85384.969614896298</v>
      </c>
      <c r="R17">
        <f>R$13*Tabella33374052[[#This Row],[2036%]]</f>
        <v>84575.023537875561</v>
      </c>
      <c r="S17">
        <f>S$13*Tabella33374052[[#This Row],[2037%]]</f>
        <v>83765.077460854824</v>
      </c>
      <c r="T17">
        <f>T$13*Tabella33374052[[#This Row],[2038%]]</f>
        <v>82955.131383834087</v>
      </c>
      <c r="U17">
        <f>U$13*Tabella33374052[[#This Row],[2039%]]</f>
        <v>82145.18530681335</v>
      </c>
      <c r="V17">
        <f>V$13*Tabella33374052[[#This Row],[2040%]]</f>
        <v>81335.239229792613</v>
      </c>
      <c r="W17">
        <f>W$13*Tabella33374052[[#This Row],[2041%]]</f>
        <v>81335.239229792613</v>
      </c>
      <c r="X17">
        <f>X$13*Tabella33374052[[#This Row],[2042%]]</f>
        <v>81335.239229792613</v>
      </c>
      <c r="Y17">
        <f>Y$13*Tabella33374052[[#This Row],[2043%]]</f>
        <v>81335.239229792613</v>
      </c>
      <c r="Z17">
        <f>Z$13*Tabella33374052[[#This Row],[2044%]]</f>
        <v>81335.239229792613</v>
      </c>
      <c r="AA17">
        <f>AA$13*Tabella33374052[[#This Row],[2045%]]</f>
        <v>81335.239229792613</v>
      </c>
      <c r="AB17">
        <v>0.34182847896440127</v>
      </c>
      <c r="AC17">
        <v>0.33937530344715972</v>
      </c>
      <c r="AD17">
        <v>0.33692133376497252</v>
      </c>
      <c r="AE17">
        <v>0.33446656953213538</v>
      </c>
      <c r="AF17">
        <v>0.33201101036269437</v>
      </c>
      <c r="AG17">
        <v>0.32955465587044541</v>
      </c>
      <c r="AH17">
        <v>0.32875929102344204</v>
      </c>
      <c r="AI17">
        <v>0.32794990112063288</v>
      </c>
      <c r="AJ17">
        <v>0.32712611189625085</v>
      </c>
      <c r="AK17">
        <v>0.32628753564838126</v>
      </c>
      <c r="AL17">
        <v>0.3254337706305544</v>
      </c>
      <c r="AM17">
        <v>0.3254337706305544</v>
      </c>
      <c r="AN17">
        <v>0.3254337706305544</v>
      </c>
      <c r="AO17">
        <v>0.3254337706305544</v>
      </c>
      <c r="AP17">
        <v>0.3254337706305544</v>
      </c>
      <c r="AQ17">
        <v>0.3254337706305544</v>
      </c>
      <c r="AR17">
        <v>0.3254337706305544</v>
      </c>
      <c r="AS17">
        <v>0.3254337706305544</v>
      </c>
      <c r="AT17">
        <v>0.3254337706305544</v>
      </c>
      <c r="AU17">
        <v>0.3254337706305544</v>
      </c>
      <c r="AV17">
        <v>0.3254337706305544</v>
      </c>
      <c r="AW17">
        <v>0.3254337706305544</v>
      </c>
      <c r="AX17">
        <v>0.3254337706305544</v>
      </c>
      <c r="AY17">
        <v>0.3254337706305544</v>
      </c>
      <c r="AZ17">
        <v>0.3254337706305544</v>
      </c>
      <c r="BA17">
        <v>0.3254337706305544</v>
      </c>
    </row>
    <row r="18" spans="1:80" x14ac:dyDescent="0.35">
      <c r="A18" t="s">
        <v>10</v>
      </c>
      <c r="B18" s="3">
        <v>19422.100000000002</v>
      </c>
      <c r="C18">
        <v>18956.900000000001</v>
      </c>
      <c r="D18">
        <v>18491.7</v>
      </c>
      <c r="E18">
        <v>18026.5</v>
      </c>
      <c r="F18">
        <v>17561.3</v>
      </c>
      <c r="G18" s="3">
        <v>17096.100000000002</v>
      </c>
      <c r="H18">
        <v>16677.420000000002</v>
      </c>
      <c r="I18">
        <v>16258.740000000002</v>
      </c>
      <c r="J18">
        <v>15840.060000000001</v>
      </c>
      <c r="K18">
        <v>15421.380000000001</v>
      </c>
      <c r="L18" s="3">
        <v>15002.699999999997</v>
      </c>
      <c r="M18">
        <f>M$13*Tabella33374052[[#This Row],[2031%]]</f>
        <v>14866.8312822683</v>
      </c>
      <c r="N18">
        <f>N$13*Tabella33374052[[#This Row],[2032%]]</f>
        <v>14730.962564536601</v>
      </c>
      <c r="O18">
        <f>O$13*Tabella33374052[[#This Row],[2033%]]</f>
        <v>14595.093846804904</v>
      </c>
      <c r="P18">
        <f>P$13*Tabella33374052[[#This Row],[2034%]]</f>
        <v>14459.225129073207</v>
      </c>
      <c r="Q18">
        <f>Q$13*Tabella33374052[[#This Row],[2035%]]</f>
        <v>14323.35641134151</v>
      </c>
      <c r="R18">
        <f>R$13*Tabella33374052[[#This Row],[2036%]]</f>
        <v>14187.487693609814</v>
      </c>
      <c r="S18">
        <f>S$13*Tabella33374052[[#This Row],[2037%]]</f>
        <v>14051.618975878115</v>
      </c>
      <c r="T18">
        <f>T$13*Tabella33374052[[#This Row],[2038%]]</f>
        <v>13915.750258146418</v>
      </c>
      <c r="U18">
        <f>U$13*Tabella33374052[[#This Row],[2039%]]</f>
        <v>13779.881540414721</v>
      </c>
      <c r="V18">
        <f>V$13*Tabella33374052[[#This Row],[2040%]]</f>
        <v>13644.012822683024</v>
      </c>
      <c r="W18">
        <f>W$13*Tabella33374052[[#This Row],[2041%]]</f>
        <v>13644.012822683024</v>
      </c>
      <c r="X18">
        <f>X$13*Tabella33374052[[#This Row],[2042%]]</f>
        <v>13644.012822683024</v>
      </c>
      <c r="Y18">
        <f>Y$13*Tabella33374052[[#This Row],[2043%]]</f>
        <v>13644.012822683024</v>
      </c>
      <c r="Z18">
        <f>Z$13*Tabella33374052[[#This Row],[2044%]]</f>
        <v>13644.012822683024</v>
      </c>
      <c r="AA18">
        <f>AA$13*Tabella33374052[[#This Row],[2045%]]</f>
        <v>13644.012822683024</v>
      </c>
      <c r="AB18">
        <v>6.7556634304207136E-2</v>
      </c>
      <c r="AC18">
        <v>6.5949182715649798E-2</v>
      </c>
      <c r="AD18">
        <v>6.4341210747814848E-2</v>
      </c>
      <c r="AE18">
        <v>6.2732718147968283E-2</v>
      </c>
      <c r="AF18">
        <v>6.1123704663212451E-2</v>
      </c>
      <c r="AG18">
        <v>5.9514170040485835E-2</v>
      </c>
      <c r="AH18">
        <v>5.8564077432001968E-2</v>
      </c>
      <c r="AI18">
        <v>5.7597231377719188E-2</v>
      </c>
      <c r="AJ18">
        <v>5.6613184803391815E-2</v>
      </c>
      <c r="AK18">
        <v>5.5611474584801215E-2</v>
      </c>
      <c r="AL18">
        <v>5.4591620820990262E-2</v>
      </c>
      <c r="AM18">
        <v>5.4591620820990262E-2</v>
      </c>
      <c r="AN18">
        <v>5.4591620820990262E-2</v>
      </c>
      <c r="AO18">
        <v>5.4591620820990262E-2</v>
      </c>
      <c r="AP18">
        <v>5.4591620820990262E-2</v>
      </c>
      <c r="AQ18">
        <v>5.4591620820990262E-2</v>
      </c>
      <c r="AR18">
        <v>5.4591620820990262E-2</v>
      </c>
      <c r="AS18">
        <v>5.4591620820990262E-2</v>
      </c>
      <c r="AT18">
        <v>5.4591620820990262E-2</v>
      </c>
      <c r="AU18">
        <v>5.4591620820990262E-2</v>
      </c>
      <c r="AV18">
        <v>5.4591620820990262E-2</v>
      </c>
      <c r="AW18">
        <v>5.4591620820990262E-2</v>
      </c>
      <c r="AX18">
        <v>5.4591620820990262E-2</v>
      </c>
      <c r="AY18">
        <v>5.4591620820990262E-2</v>
      </c>
      <c r="AZ18">
        <v>5.4591620820990262E-2</v>
      </c>
      <c r="BA18">
        <v>5.4591620820990262E-2</v>
      </c>
    </row>
    <row r="19" spans="1:80" x14ac:dyDescent="0.35">
      <c r="A19" t="s">
        <v>14</v>
      </c>
      <c r="B19" s="3">
        <v>17793.900000000001</v>
      </c>
      <c r="C19">
        <v>18259.100000000002</v>
      </c>
      <c r="D19">
        <v>18724.300000000003</v>
      </c>
      <c r="E19">
        <v>19189.500000000004</v>
      </c>
      <c r="F19">
        <v>19654.700000000004</v>
      </c>
      <c r="G19" s="3">
        <v>20119.900000000001</v>
      </c>
      <c r="H19">
        <v>19259.280000000002</v>
      </c>
      <c r="I19">
        <v>18398.660000000003</v>
      </c>
      <c r="J19">
        <v>17538.040000000005</v>
      </c>
      <c r="K19">
        <v>16677.420000000006</v>
      </c>
      <c r="L19" s="3">
        <v>15816.800000000001</v>
      </c>
      <c r="M19">
        <f>M$13*Tabella33374052[[#This Row],[2031%]]</f>
        <v>15673.55856115108</v>
      </c>
      <c r="N19">
        <f>N$13*Tabella33374052[[#This Row],[2032%]]</f>
        <v>15530.317122302158</v>
      </c>
      <c r="O19">
        <f>O$13*Tabella33374052[[#This Row],[2033%]]</f>
        <v>15387.075683453237</v>
      </c>
      <c r="P19">
        <f>P$13*Tabella33374052[[#This Row],[2034%]]</f>
        <v>15243.834244604315</v>
      </c>
      <c r="Q19">
        <f>Q$13*Tabella33374052[[#This Row],[2035%]]</f>
        <v>15100.592805755394</v>
      </c>
      <c r="R19">
        <f>R$13*Tabella33374052[[#This Row],[2036%]]</f>
        <v>14957.351366906472</v>
      </c>
      <c r="S19">
        <f>S$13*Tabella33374052[[#This Row],[2037%]]</f>
        <v>14814.109928057551</v>
      </c>
      <c r="T19">
        <f>T$13*Tabella33374052[[#This Row],[2038%]]</f>
        <v>14670.868489208631</v>
      </c>
      <c r="U19">
        <f>U$13*Tabella33374052[[#This Row],[2039%]]</f>
        <v>14527.62705035971</v>
      </c>
      <c r="V19">
        <f>V$13*Tabella33374052[[#This Row],[2040%]]</f>
        <v>14384.385611510788</v>
      </c>
      <c r="W19">
        <f>W$13*Tabella33374052[[#This Row],[2041%]]</f>
        <v>14384.385611510788</v>
      </c>
      <c r="X19">
        <f>X$13*Tabella33374052[[#This Row],[2042%]]</f>
        <v>14384.385611510788</v>
      </c>
      <c r="Y19">
        <f>Y$13*Tabella33374052[[#This Row],[2043%]]</f>
        <v>14384.385611510788</v>
      </c>
      <c r="Z19">
        <f>Z$13*Tabella33374052[[#This Row],[2044%]]</f>
        <v>14384.385611510788</v>
      </c>
      <c r="AA19">
        <f>AA$13*Tabella33374052[[#This Row],[2045%]]</f>
        <v>14384.385611510788</v>
      </c>
      <c r="AB19">
        <v>6.1893203883495153E-2</v>
      </c>
      <c r="AC19">
        <v>6.3521605437773118E-2</v>
      </c>
      <c r="AD19">
        <v>6.5150534153447737E-2</v>
      </c>
      <c r="AE19">
        <v>6.6779990286546895E-2</v>
      </c>
      <c r="AF19">
        <v>6.8409974093264284E-2</v>
      </c>
      <c r="AG19">
        <v>7.0040485829959517E-2</v>
      </c>
      <c r="AH19">
        <v>6.7630482724822361E-2</v>
      </c>
      <c r="AI19">
        <v>6.51779828609097E-2</v>
      </c>
      <c r="AJ19">
        <v>6.2681852190539553E-2</v>
      </c>
      <c r="AK19">
        <v>6.0140915953699067E-2</v>
      </c>
      <c r="AL19">
        <v>5.7553956834532384E-2</v>
      </c>
      <c r="AM19">
        <v>5.7553956834532384E-2</v>
      </c>
      <c r="AN19">
        <v>5.7553956834532384E-2</v>
      </c>
      <c r="AO19">
        <v>5.7553956834532384E-2</v>
      </c>
      <c r="AP19">
        <v>5.7553956834532384E-2</v>
      </c>
      <c r="AQ19">
        <v>5.7553956834532384E-2</v>
      </c>
      <c r="AR19">
        <v>5.7553956834532384E-2</v>
      </c>
      <c r="AS19">
        <v>5.7553956834532384E-2</v>
      </c>
      <c r="AT19">
        <v>5.7553956834532384E-2</v>
      </c>
      <c r="AU19">
        <v>5.7553956834532384E-2</v>
      </c>
      <c r="AV19">
        <v>5.7553956834532384E-2</v>
      </c>
      <c r="AW19">
        <v>5.7553956834532384E-2</v>
      </c>
      <c r="AX19">
        <v>5.7553956834532384E-2</v>
      </c>
      <c r="AY19">
        <v>5.7553956834532384E-2</v>
      </c>
      <c r="AZ19">
        <v>5.7553956834532384E-2</v>
      </c>
      <c r="BA19">
        <v>5.7553956834532384E-2</v>
      </c>
    </row>
    <row r="20" spans="1:80" ht="15" thickBot="1" x14ac:dyDescent="0.4"/>
    <row r="21" spans="1:80" x14ac:dyDescent="0.35">
      <c r="A21" s="43" t="s">
        <v>6</v>
      </c>
      <c r="B21" s="44">
        <v>374951.2</v>
      </c>
      <c r="C21" s="45">
        <v>381836.16000000003</v>
      </c>
      <c r="D21" s="45">
        <v>388721.12000000005</v>
      </c>
      <c r="E21" s="45">
        <v>395606.08000000007</v>
      </c>
      <c r="F21" s="45">
        <v>402491.0400000001</v>
      </c>
      <c r="G21" s="44">
        <v>409376.00000000006</v>
      </c>
      <c r="H21" s="45">
        <v>402886.46</v>
      </c>
      <c r="I21" s="45">
        <v>396396.92</v>
      </c>
      <c r="J21" s="45">
        <v>389907.37999999995</v>
      </c>
      <c r="K21" s="45">
        <v>383417.83999999991</v>
      </c>
      <c r="L21" s="44">
        <v>376928.3</v>
      </c>
      <c r="M21" s="45">
        <v>370438.75999999995</v>
      </c>
      <c r="N21" s="45">
        <v>363949.21999999991</v>
      </c>
      <c r="O21" s="45">
        <v>357459.67999999988</v>
      </c>
      <c r="P21" s="45">
        <v>350970.13999999984</v>
      </c>
      <c r="Q21" s="45">
        <v>344480.5999999998</v>
      </c>
      <c r="R21" s="45">
        <v>337991.06</v>
      </c>
      <c r="S21" s="45">
        <v>331501.51999999973</v>
      </c>
      <c r="T21" s="45">
        <v>325011.97999999969</v>
      </c>
      <c r="U21" s="45">
        <v>318522.43999999965</v>
      </c>
      <c r="V21" s="45">
        <v>312032.89999999962</v>
      </c>
      <c r="W21" s="45">
        <v>312032.89999999962</v>
      </c>
      <c r="X21" s="45">
        <v>312032.89999999962</v>
      </c>
      <c r="Y21" s="45">
        <v>312032.89999999962</v>
      </c>
      <c r="Z21" s="45">
        <v>312032.89999999962</v>
      </c>
      <c r="AA21" s="45">
        <v>312032.89999999962</v>
      </c>
      <c r="AB21" s="45">
        <v>1</v>
      </c>
      <c r="AC21" s="45">
        <v>1</v>
      </c>
      <c r="AD21" s="45">
        <v>1</v>
      </c>
      <c r="AE21" s="45">
        <v>1</v>
      </c>
      <c r="AF21" s="45">
        <v>1</v>
      </c>
      <c r="AG21" s="45">
        <v>1</v>
      </c>
      <c r="AH21" s="45">
        <v>1</v>
      </c>
      <c r="AI21" s="45">
        <v>1</v>
      </c>
      <c r="AJ21" s="45">
        <v>1</v>
      </c>
      <c r="AK21" s="45">
        <v>1</v>
      </c>
      <c r="AL21" s="45">
        <v>0.99999999999999989</v>
      </c>
      <c r="AM21" s="45">
        <v>0.99999999999999989</v>
      </c>
      <c r="AN21" s="45">
        <v>0.99999999999999989</v>
      </c>
      <c r="AO21" s="45">
        <v>0.99999999999999989</v>
      </c>
      <c r="AP21" s="45">
        <v>0.99999999999999989</v>
      </c>
      <c r="AQ21" s="45">
        <v>0.99999999999999989</v>
      </c>
      <c r="AR21" s="45">
        <v>0.99999999999999989</v>
      </c>
      <c r="AS21" s="45">
        <v>0.99999999999999989</v>
      </c>
      <c r="AT21" s="45">
        <v>0.99999999999999989</v>
      </c>
      <c r="AU21" s="45">
        <v>0.99999999999999989</v>
      </c>
      <c r="AV21" s="45">
        <v>0.99999999999999989</v>
      </c>
      <c r="AW21" s="45">
        <v>0.99999999999999989</v>
      </c>
      <c r="AX21" s="45">
        <v>0.99999999999999989</v>
      </c>
      <c r="AY21" s="45">
        <v>0.99999999999999989</v>
      </c>
      <c r="AZ21" s="45">
        <v>0.99999999999999989</v>
      </c>
      <c r="BA21" s="46">
        <v>0.99999999999999989</v>
      </c>
    </row>
    <row r="22" spans="1:80" x14ac:dyDescent="0.35">
      <c r="A22" s="47"/>
      <c r="B22" s="3"/>
      <c r="G22" s="3"/>
      <c r="L22" s="3"/>
      <c r="BA22" s="48"/>
    </row>
    <row r="23" spans="1:80" x14ac:dyDescent="0.35">
      <c r="A23" s="49" t="s">
        <v>11</v>
      </c>
      <c r="B23" s="3">
        <v>11513.700000000023</v>
      </c>
      <c r="C23">
        <v>13839.700000000006</v>
      </c>
      <c r="D23">
        <v>16165.69999999999</v>
      </c>
      <c r="E23">
        <v>18491.699999999972</v>
      </c>
      <c r="F23">
        <v>20817.699999999953</v>
      </c>
      <c r="G23" s="3">
        <v>23143.699999999939</v>
      </c>
      <c r="H23">
        <v>27539.839999999942</v>
      </c>
      <c r="I23">
        <v>31935.979999999945</v>
      </c>
      <c r="J23">
        <v>36332.119999999944</v>
      </c>
      <c r="K23">
        <v>40728.259999999944</v>
      </c>
      <c r="L23" s="3">
        <v>45124.399999999951</v>
      </c>
      <c r="M23">
        <v>44347.497340327005</v>
      </c>
      <c r="N23">
        <v>43570.59468065406</v>
      </c>
      <c r="O23">
        <v>42793.692020981114</v>
      </c>
      <c r="P23">
        <v>42016.789361308169</v>
      </c>
      <c r="Q23">
        <v>41239.886701635231</v>
      </c>
      <c r="R23">
        <v>40462.984041962285</v>
      </c>
      <c r="S23">
        <v>39686.08138228934</v>
      </c>
      <c r="T23">
        <v>38909.178722616394</v>
      </c>
      <c r="U23">
        <v>38132.276062943449</v>
      </c>
      <c r="V23">
        <v>37355.373403270511</v>
      </c>
      <c r="W23">
        <v>37355.373403270511</v>
      </c>
      <c r="X23">
        <v>37355.373403270511</v>
      </c>
      <c r="Y23">
        <v>37355.373403270511</v>
      </c>
      <c r="Z23">
        <v>37355.373403270511</v>
      </c>
      <c r="AA23">
        <v>37355.373403270511</v>
      </c>
      <c r="AB23">
        <v>3.0707196029776736E-2</v>
      </c>
      <c r="AC23">
        <v>3.6245126705653032E-2</v>
      </c>
      <c r="AD23">
        <v>4.1586883676400156E-2</v>
      </c>
      <c r="AE23">
        <v>4.6742709313264269E-2</v>
      </c>
      <c r="AF23">
        <v>5.1722145168746986E-2</v>
      </c>
      <c r="AG23">
        <v>5.6534090909090749E-2</v>
      </c>
      <c r="AH23">
        <v>6.8356330465908291E-2</v>
      </c>
      <c r="AI23">
        <v>8.056566130735815E-2</v>
      </c>
      <c r="AJ23">
        <v>9.3181411441865883E-2</v>
      </c>
      <c r="AK23">
        <v>0.10622421742295547</v>
      </c>
      <c r="AL23">
        <v>0.11971613699475457</v>
      </c>
      <c r="AM23">
        <v>0.11971613699475457</v>
      </c>
      <c r="AN23">
        <v>0.11971613699475457</v>
      </c>
      <c r="AO23">
        <v>0.11971613699475457</v>
      </c>
      <c r="AP23">
        <v>0.11971613699475457</v>
      </c>
      <c r="AQ23">
        <v>0.11971613699475457</v>
      </c>
      <c r="AR23">
        <v>0.11971613699475457</v>
      </c>
      <c r="AS23">
        <v>0.11971613699475457</v>
      </c>
      <c r="AT23">
        <v>0.11971613699475457</v>
      </c>
      <c r="AU23">
        <v>0.11971613699475457</v>
      </c>
      <c r="AV23">
        <v>0.11971613699475457</v>
      </c>
      <c r="AW23">
        <v>0.11971613699475457</v>
      </c>
      <c r="AX23">
        <v>0.11971613699475457</v>
      </c>
      <c r="AY23">
        <v>0.11971613699475457</v>
      </c>
      <c r="AZ23">
        <v>0.11971613699475457</v>
      </c>
      <c r="BA23" s="48">
        <v>0.11971613699475457</v>
      </c>
    </row>
    <row r="24" spans="1:80" x14ac:dyDescent="0.35">
      <c r="A24" s="49" t="s">
        <v>113</v>
      </c>
      <c r="B24" s="3"/>
      <c r="G24" s="3"/>
      <c r="L24" s="3"/>
      <c r="Q24" s="37">
        <f>Q23/(Q23+Q39)</f>
        <v>0.92290858923431884</v>
      </c>
      <c r="R24" s="37">
        <f t="shared" ref="R24:AA24" si="0">R23/(R23+R39)</f>
        <v>0.92290858923431884</v>
      </c>
      <c r="S24" s="37">
        <f t="shared" si="0"/>
        <v>0.92290858923431884</v>
      </c>
      <c r="T24" s="37">
        <f t="shared" si="0"/>
        <v>0.92290858923431873</v>
      </c>
      <c r="U24" s="37">
        <f t="shared" si="0"/>
        <v>0.92290858923431873</v>
      </c>
      <c r="V24" s="37">
        <f t="shared" si="0"/>
        <v>0.92290858923431873</v>
      </c>
      <c r="W24" s="37">
        <f t="shared" si="0"/>
        <v>0.92290858923431873</v>
      </c>
      <c r="X24" s="37">
        <f t="shared" si="0"/>
        <v>0.92290858923431873</v>
      </c>
      <c r="Y24" s="37">
        <f t="shared" si="0"/>
        <v>0.92290858923431873</v>
      </c>
      <c r="Z24" s="37">
        <f t="shared" si="0"/>
        <v>0.92290858923431873</v>
      </c>
      <c r="AA24" s="37">
        <f t="shared" si="0"/>
        <v>0.92290858923431873</v>
      </c>
      <c r="BA24" s="48"/>
    </row>
    <row r="25" spans="1:80" x14ac:dyDescent="0.35">
      <c r="A25" s="50" t="s">
        <v>109</v>
      </c>
      <c r="B25" s="51">
        <v>11513.700000000023</v>
      </c>
      <c r="C25" s="52">
        <v>13839.700000000006</v>
      </c>
      <c r="D25" s="52">
        <v>16165.69999999999</v>
      </c>
      <c r="E25" s="52">
        <v>18491.699999999972</v>
      </c>
      <c r="F25" s="52">
        <v>20817.699999999953</v>
      </c>
      <c r="G25" s="51">
        <v>23143.699999999939</v>
      </c>
      <c r="H25" s="52">
        <v>27539.839999999942</v>
      </c>
      <c r="I25" s="52">
        <v>31935.979999999945</v>
      </c>
      <c r="J25" s="52">
        <v>36332.119999999944</v>
      </c>
      <c r="K25" s="52">
        <v>40728.259999999944</v>
      </c>
      <c r="L25" s="51">
        <v>45124.399999999951</v>
      </c>
      <c r="M25" s="52">
        <v>44347.497340327005</v>
      </c>
      <c r="N25" s="52">
        <v>43570.59468065406</v>
      </c>
      <c r="O25" s="52">
        <v>42793.692020981114</v>
      </c>
      <c r="P25" s="52">
        <v>42016.789361308169</v>
      </c>
      <c r="Q25" s="52">
        <v>41239.886701635231</v>
      </c>
      <c r="R25" s="52">
        <f>R23+R24*(R36+R30)</f>
        <v>57552.055016441605</v>
      </c>
      <c r="S25" s="52">
        <f t="shared" ref="S25:AA25" si="1">S23+S24*(S36+S30)</f>
        <v>73864.22333124798</v>
      </c>
      <c r="T25" s="52">
        <f t="shared" si="1"/>
        <v>90176.391646054355</v>
      </c>
      <c r="U25" s="52">
        <f t="shared" si="1"/>
        <v>106488.55996086073</v>
      </c>
      <c r="V25" s="52">
        <f t="shared" si="1"/>
        <v>122800.72827566708</v>
      </c>
      <c r="W25" s="52">
        <f t="shared" si="1"/>
        <v>143856.39725503806</v>
      </c>
      <c r="X25" s="52">
        <f t="shared" si="1"/>
        <v>164912.06623440902</v>
      </c>
      <c r="Y25" s="52">
        <f t="shared" si="1"/>
        <v>185967.73521378002</v>
      </c>
      <c r="Z25" s="52">
        <f t="shared" si="1"/>
        <v>207023.40419315099</v>
      </c>
      <c r="AA25" s="52">
        <f t="shared" si="1"/>
        <v>228079.07317252189</v>
      </c>
      <c r="AB25" s="52">
        <f>Tabella33374052[[#This Row],[2020]]/B21</f>
        <v>3.0707196029776736E-2</v>
      </c>
      <c r="AC25" s="52">
        <f>Tabella33374052[[#This Row],[2021]]/C21</f>
        <v>3.6245126705653032E-2</v>
      </c>
      <c r="AD25" s="52">
        <f>Tabella33374052[[#This Row],[2022]]/D21</f>
        <v>4.1586883676400156E-2</v>
      </c>
      <c r="AE25" s="52">
        <f>Tabella33374052[[#This Row],[2023]]/E21</f>
        <v>4.6742709313264269E-2</v>
      </c>
      <c r="AF25" s="52">
        <f>Tabella33374052[[#This Row],[2024]]/F21</f>
        <v>5.1722145168746986E-2</v>
      </c>
      <c r="AG25" s="52">
        <f>Tabella33374052[[#This Row],[2025]]/G21</f>
        <v>5.6534090909090749E-2</v>
      </c>
      <c r="AH25" s="52">
        <f>Tabella33374052[[#This Row],[2026]]/H21</f>
        <v>6.8356330465908291E-2</v>
      </c>
      <c r="AI25" s="52">
        <f>Tabella33374052[[#This Row],[2027]]/I21</f>
        <v>8.056566130735815E-2</v>
      </c>
      <c r="AJ25" s="52">
        <f>Tabella33374052[[#This Row],[2028]]/J21</f>
        <v>9.3181411441865883E-2</v>
      </c>
      <c r="AK25" s="52">
        <f>Tabella33374052[[#This Row],[2029]]/K21</f>
        <v>0.10622421742295547</v>
      </c>
      <c r="AL25" s="52">
        <f>Tabella33374052[[#This Row],[2030]]/L21</f>
        <v>0.11971613699475457</v>
      </c>
      <c r="AM25" s="52">
        <f>Tabella33374052[[#This Row],[2031]]/M21</f>
        <v>0.11971613699475457</v>
      </c>
      <c r="AN25" s="52">
        <f>Tabella33374052[[#This Row],[2032]]/N21</f>
        <v>0.11971613699475457</v>
      </c>
      <c r="AO25" s="52">
        <f>Tabella33374052[[#This Row],[2033]]/O21</f>
        <v>0.11971613699475457</v>
      </c>
      <c r="AP25" s="52">
        <f>Tabella33374052[[#This Row],[2034]]/P21</f>
        <v>0.11971613699475456</v>
      </c>
      <c r="AQ25" s="52">
        <f>Tabella33374052[[#This Row],[2035]]/Q21</f>
        <v>0.11971613699475459</v>
      </c>
      <c r="AR25" s="52">
        <f>Tabella33374052[[#This Row],[2036]]/R21</f>
        <v>0.17027685589211031</v>
      </c>
      <c r="AS25" s="52">
        <f>Tabella33374052[[#This Row],[2037]]/S21</f>
        <v>0.22281714826299451</v>
      </c>
      <c r="AT25" s="52">
        <f>Tabella33374052[[#This Row],[2038]]/T21</f>
        <v>0.27745559300938522</v>
      </c>
      <c r="AU25" s="52">
        <f>Tabella33374052[[#This Row],[2039]]/U21</f>
        <v>0.33432043268556166</v>
      </c>
      <c r="AV25" s="52">
        <f>Tabella33374052[[#This Row],[2040]]/V21</f>
        <v>0.3935505784026852</v>
      </c>
      <c r="AW25" s="52">
        <f>Tabella33374052[[#This Row],[2041]]/W21</f>
        <v>0.46102958135196076</v>
      </c>
      <c r="AX25" s="52">
        <f>Tabella33374052[[#This Row],[2042]]/X21</f>
        <v>0.52850858430123626</v>
      </c>
      <c r="AY25" s="52">
        <f>Tabella33374052[[#This Row],[2043]]/Y21</f>
        <v>0.59598758725051193</v>
      </c>
      <c r="AZ25" s="52">
        <f>Tabella33374052[[#This Row],[2044]]/Z21</f>
        <v>0.66346659019978738</v>
      </c>
      <c r="BA25" s="53">
        <f>Tabella33374052[[#This Row],[2045]]/AA21</f>
        <v>0.73094559314906271</v>
      </c>
      <c r="BC25">
        <v>3.0707196029776736E-2</v>
      </c>
      <c r="BD25">
        <v>3.6245126705653032E-2</v>
      </c>
      <c r="BE25">
        <v>4.1586883676400156E-2</v>
      </c>
      <c r="BF25">
        <v>4.6742709313264269E-2</v>
      </c>
      <c r="BG25">
        <v>5.1722145168746986E-2</v>
      </c>
      <c r="BH25">
        <v>5.6534090909090749E-2</v>
      </c>
      <c r="BI25">
        <v>6.8356330465908291E-2</v>
      </c>
      <c r="BJ25">
        <v>8.056566130735815E-2</v>
      </c>
      <c r="BK25">
        <v>9.3181411441865883E-2</v>
      </c>
      <c r="BL25">
        <v>0.10622421742295547</v>
      </c>
      <c r="BM25">
        <v>0.11971613699475457</v>
      </c>
      <c r="BN25">
        <v>0.11971613699475457</v>
      </c>
      <c r="BO25">
        <v>0.11971613699475457</v>
      </c>
      <c r="BP25">
        <v>0.11971613699475457</v>
      </c>
      <c r="BQ25">
        <v>0.11971613699475456</v>
      </c>
      <c r="BR25">
        <v>0.11971613699475459</v>
      </c>
      <c r="BS25">
        <v>0.17027685589211031</v>
      </c>
      <c r="BT25">
        <v>0.22281714826299451</v>
      </c>
      <c r="BU25">
        <v>0.27745559300938522</v>
      </c>
      <c r="BV25">
        <v>0.33432043268556166</v>
      </c>
      <c r="BW25">
        <v>0.3935505784026852</v>
      </c>
      <c r="BX25">
        <v>0.46102958135196076</v>
      </c>
      <c r="BY25">
        <v>0.52850858430123626</v>
      </c>
      <c r="BZ25">
        <v>0.59598758725051193</v>
      </c>
      <c r="CA25">
        <v>0.66346659019978738</v>
      </c>
      <c r="CB25">
        <v>0.73094559314906271</v>
      </c>
    </row>
    <row r="26" spans="1:80" x14ac:dyDescent="0.35">
      <c r="A26" s="49"/>
      <c r="B26" s="3"/>
      <c r="G26" s="3"/>
      <c r="L26" s="3"/>
      <c r="BA26" s="48"/>
    </row>
    <row r="27" spans="1:80" x14ac:dyDescent="0.35">
      <c r="A27" s="49" t="s">
        <v>15</v>
      </c>
      <c r="B27" s="3">
        <v>14304.900000000005</v>
      </c>
      <c r="C27">
        <v>14607.280000000012</v>
      </c>
      <c r="D27">
        <v>14909.660000000018</v>
      </c>
      <c r="E27">
        <v>15212.040000000025</v>
      </c>
      <c r="F27">
        <v>15514.420000000031</v>
      </c>
      <c r="G27" s="3">
        <v>15816.800000000034</v>
      </c>
      <c r="H27">
        <v>19584.920000000027</v>
      </c>
      <c r="I27">
        <v>23353.040000000023</v>
      </c>
      <c r="J27">
        <v>27121.160000000018</v>
      </c>
      <c r="K27">
        <v>30889.280000000013</v>
      </c>
      <c r="L27" s="3">
        <v>34657.4</v>
      </c>
      <c r="M27">
        <v>34060.706720148097</v>
      </c>
      <c r="N27">
        <v>33464.013440296199</v>
      </c>
      <c r="O27">
        <v>32867.320160444295</v>
      </c>
      <c r="P27">
        <v>32270.626880592397</v>
      </c>
      <c r="Q27">
        <v>31673.933600740496</v>
      </c>
      <c r="R27">
        <v>31077.240320888595</v>
      </c>
      <c r="S27">
        <v>30480.547041036694</v>
      </c>
      <c r="T27">
        <v>29883.853761184793</v>
      </c>
      <c r="U27">
        <v>29287.160481332892</v>
      </c>
      <c r="V27">
        <v>28690.467201480991</v>
      </c>
      <c r="W27">
        <v>28690.467201480991</v>
      </c>
      <c r="X27">
        <v>28690.467201480991</v>
      </c>
      <c r="Y27">
        <v>28690.467201480991</v>
      </c>
      <c r="Z27">
        <v>28690.467201480991</v>
      </c>
      <c r="AA27">
        <v>28690.467201480991</v>
      </c>
      <c r="AB27">
        <v>3.8151364764268003E-2</v>
      </c>
      <c r="AC27">
        <v>3.8255360623781702E-2</v>
      </c>
      <c r="AD27">
        <v>3.8355672570607985E-2</v>
      </c>
      <c r="AE27">
        <v>3.8452492944496763E-2</v>
      </c>
      <c r="AF27">
        <v>3.854600092464177E-2</v>
      </c>
      <c r="AG27">
        <v>3.8636363636363712E-2</v>
      </c>
      <c r="AH27">
        <v>4.8611512037411299E-2</v>
      </c>
      <c r="AI27">
        <v>5.8913273090012971E-2</v>
      </c>
      <c r="AJ27">
        <v>6.9557955019984546E-2</v>
      </c>
      <c r="AK27">
        <v>8.0562970152875571E-2</v>
      </c>
      <c r="AL27">
        <v>9.1946929959888929E-2</v>
      </c>
      <c r="AM27">
        <v>9.1946929959888929E-2</v>
      </c>
      <c r="AN27">
        <v>9.1946929959888929E-2</v>
      </c>
      <c r="AO27">
        <v>9.1946929959888929E-2</v>
      </c>
      <c r="AP27">
        <v>9.1946929959888929E-2</v>
      </c>
      <c r="AQ27">
        <v>9.1946929959888929E-2</v>
      </c>
      <c r="AR27">
        <v>9.1946929959888929E-2</v>
      </c>
      <c r="AS27">
        <v>9.1946929959888929E-2</v>
      </c>
      <c r="AT27">
        <v>9.1946929959888929E-2</v>
      </c>
      <c r="AU27">
        <v>9.1946929959888929E-2</v>
      </c>
      <c r="AV27">
        <v>9.1946929959888929E-2</v>
      </c>
      <c r="AW27">
        <v>9.1946929959888929E-2</v>
      </c>
      <c r="AX27">
        <v>9.1946929959888929E-2</v>
      </c>
      <c r="AY27">
        <v>9.1946929959888929E-2</v>
      </c>
      <c r="AZ27">
        <v>9.1946929959888929E-2</v>
      </c>
      <c r="BA27" s="48">
        <v>9.1946929959888929E-2</v>
      </c>
    </row>
    <row r="28" spans="1:80" x14ac:dyDescent="0.35">
      <c r="A28" s="49"/>
      <c r="B28" s="3"/>
      <c r="G28" s="3"/>
      <c r="L28" s="3"/>
      <c r="P28" t="s">
        <v>115</v>
      </c>
      <c r="Q28">
        <f t="shared" ref="Q28:AA28" si="2">Q27*0.761</f>
        <v>24103.863470163516</v>
      </c>
      <c r="R28">
        <f t="shared" si="2"/>
        <v>23649.779884196221</v>
      </c>
      <c r="S28">
        <f t="shared" si="2"/>
        <v>23195.696298228926</v>
      </c>
      <c r="T28">
        <f t="shared" si="2"/>
        <v>22741.612712261627</v>
      </c>
      <c r="U28">
        <f t="shared" si="2"/>
        <v>22287.529126294332</v>
      </c>
      <c r="V28">
        <f t="shared" si="2"/>
        <v>21833.445540327033</v>
      </c>
      <c r="W28">
        <f t="shared" si="2"/>
        <v>21833.445540327033</v>
      </c>
      <c r="X28">
        <f t="shared" si="2"/>
        <v>21833.445540327033</v>
      </c>
      <c r="Y28">
        <f t="shared" si="2"/>
        <v>21833.445540327033</v>
      </c>
      <c r="Z28">
        <f t="shared" si="2"/>
        <v>21833.445540327033</v>
      </c>
      <c r="AA28">
        <f t="shared" si="2"/>
        <v>21833.445540327033</v>
      </c>
      <c r="BA28" s="48"/>
    </row>
    <row r="29" spans="1:80" x14ac:dyDescent="0.35">
      <c r="A29" s="49"/>
      <c r="B29" s="3"/>
      <c r="G29" s="3"/>
      <c r="L29" s="3"/>
      <c r="P29" t="s">
        <v>116</v>
      </c>
      <c r="Q29">
        <f>Q27*0.761</f>
        <v>24103.863470163516</v>
      </c>
      <c r="R29">
        <f>Q29+($AA$29-$Q$29)/10</f>
        <v>21693.477123147164</v>
      </c>
      <c r="S29">
        <f t="shared" ref="S29:Z29" si="3">R29+($AA$29-$Q$29)/10</f>
        <v>19283.090776130812</v>
      </c>
      <c r="T29">
        <f t="shared" si="3"/>
        <v>16872.704429114459</v>
      </c>
      <c r="U29">
        <f t="shared" si="3"/>
        <v>14462.318082098107</v>
      </c>
      <c r="V29">
        <f t="shared" si="3"/>
        <v>12051.931735081755</v>
      </c>
      <c r="W29">
        <f t="shared" si="3"/>
        <v>9641.5453880654022</v>
      </c>
      <c r="X29">
        <f t="shared" si="3"/>
        <v>7231.1590410490508</v>
      </c>
      <c r="Y29">
        <f t="shared" si="3"/>
        <v>4820.7726940326993</v>
      </c>
      <c r="Z29">
        <f t="shared" si="3"/>
        <v>2410.3863470163478</v>
      </c>
      <c r="AA29">
        <v>0</v>
      </c>
      <c r="BA29" s="48"/>
    </row>
    <row r="30" spans="1:80" x14ac:dyDescent="0.35">
      <c r="A30" s="49"/>
      <c r="B30" s="3"/>
      <c r="G30" s="3"/>
      <c r="L30" s="3"/>
      <c r="P30" t="s">
        <v>108</v>
      </c>
      <c r="Q30">
        <f>Q28-Q29</f>
        <v>0</v>
      </c>
      <c r="R30">
        <f>R28-R29</f>
        <v>1956.3027610490572</v>
      </c>
      <c r="S30">
        <f t="shared" ref="S30:AA30" si="4">S28-S29</f>
        <v>3912.6055220981143</v>
      </c>
      <c r="T30">
        <f t="shared" si="4"/>
        <v>5868.9082831471678</v>
      </c>
      <c r="U30">
        <f t="shared" si="4"/>
        <v>7825.211044196225</v>
      </c>
      <c r="V30">
        <f t="shared" si="4"/>
        <v>9781.5138052452785</v>
      </c>
      <c r="W30">
        <f t="shared" si="4"/>
        <v>12191.900152261631</v>
      </c>
      <c r="X30">
        <f t="shared" si="4"/>
        <v>14602.286499277983</v>
      </c>
      <c r="Y30">
        <f t="shared" si="4"/>
        <v>17012.672846294336</v>
      </c>
      <c r="Z30">
        <f t="shared" si="4"/>
        <v>19423.059193310684</v>
      </c>
      <c r="AA30">
        <f t="shared" si="4"/>
        <v>21833.445540327033</v>
      </c>
      <c r="BA30" s="48"/>
      <c r="BC30">
        <v>3.8151364764268003E-2</v>
      </c>
      <c r="BD30">
        <v>3.8255360623781702E-2</v>
      </c>
      <c r="BE30">
        <v>3.8355672570607985E-2</v>
      </c>
      <c r="BF30">
        <v>3.8452492944496763E-2</v>
      </c>
      <c r="BG30">
        <v>3.854600092464177E-2</v>
      </c>
      <c r="BH30">
        <v>3.8636363636363712E-2</v>
      </c>
      <c r="BI30">
        <v>4.8611512037411299E-2</v>
      </c>
      <c r="BJ30">
        <v>5.8913273090012971E-2</v>
      </c>
      <c r="BK30">
        <v>6.9557955019984546E-2</v>
      </c>
      <c r="BL30">
        <v>8.0562970152875571E-2</v>
      </c>
      <c r="BM30">
        <v>9.1946929959888929E-2</v>
      </c>
      <c r="BN30">
        <v>9.1946929959888915E-2</v>
      </c>
      <c r="BO30">
        <v>9.1946929959888929E-2</v>
      </c>
      <c r="BP30">
        <v>9.1946929959888915E-2</v>
      </c>
      <c r="BQ30">
        <v>9.1946929959888929E-2</v>
      </c>
      <c r="BR30">
        <v>9.1946929959888929E-2</v>
      </c>
      <c r="BS30">
        <v>0.11865364661505359</v>
      </c>
      <c r="BT30">
        <v>0.14640599531439338</v>
      </c>
      <c r="BU30">
        <v>0.17526661071195337</v>
      </c>
      <c r="BV30">
        <v>0.20530323190707717</v>
      </c>
      <c r="BW30">
        <v>0.23658923324583703</v>
      </c>
      <c r="BX30">
        <v>0.27223236987919636</v>
      </c>
      <c r="BY30">
        <v>0.30787550651255569</v>
      </c>
      <c r="BZ30">
        <v>0.34351864314591496</v>
      </c>
      <c r="CA30">
        <v>0.37916177977927429</v>
      </c>
      <c r="CB30">
        <v>0.41480491641263362</v>
      </c>
    </row>
    <row r="31" spans="1:80" x14ac:dyDescent="0.35">
      <c r="A31" s="50" t="s">
        <v>110</v>
      </c>
      <c r="B31" s="51">
        <v>14304.900000000005</v>
      </c>
      <c r="C31" s="52">
        <v>14607.280000000012</v>
      </c>
      <c r="D31" s="52">
        <v>14909.660000000018</v>
      </c>
      <c r="E31" s="52">
        <v>15212.040000000025</v>
      </c>
      <c r="F31" s="52">
        <v>15514.420000000031</v>
      </c>
      <c r="G31" s="51">
        <v>15816.800000000034</v>
      </c>
      <c r="H31" s="52">
        <v>19584.920000000027</v>
      </c>
      <c r="I31" s="52">
        <v>23353.040000000023</v>
      </c>
      <c r="J31" s="52">
        <v>27121.160000000018</v>
      </c>
      <c r="K31" s="52">
        <v>30889.280000000013</v>
      </c>
      <c r="L31" s="51">
        <v>34657.4</v>
      </c>
      <c r="M31" s="52">
        <v>34060.706720148097</v>
      </c>
      <c r="N31" s="52">
        <v>33464.013440296199</v>
      </c>
      <c r="O31" s="52">
        <v>32867.320160444295</v>
      </c>
      <c r="P31" s="52">
        <v>32270.626880592397</v>
      </c>
      <c r="Q31" s="52">
        <v>31673.933600740496</v>
      </c>
      <c r="R31" s="52">
        <f>R27-R30</f>
        <v>29120.937559839538</v>
      </c>
      <c r="S31" s="52">
        <f t="shared" ref="S31:AA31" si="5">S27-S30</f>
        <v>26567.94151893858</v>
      </c>
      <c r="T31" s="52">
        <f t="shared" si="5"/>
        <v>24014.945478037625</v>
      </c>
      <c r="U31" s="52">
        <f t="shared" si="5"/>
        <v>21461.949437136667</v>
      </c>
      <c r="V31" s="52">
        <f t="shared" si="5"/>
        <v>18908.953396235713</v>
      </c>
      <c r="W31" s="52">
        <f t="shared" si="5"/>
        <v>16498.56704921936</v>
      </c>
      <c r="X31" s="52">
        <f t="shared" si="5"/>
        <v>14088.180702203008</v>
      </c>
      <c r="Y31" s="52">
        <f t="shared" si="5"/>
        <v>11677.794355186656</v>
      </c>
      <c r="Z31" s="52">
        <f t="shared" si="5"/>
        <v>9267.4080081703069</v>
      </c>
      <c r="AA31" s="52">
        <f t="shared" si="5"/>
        <v>6857.0216611539581</v>
      </c>
      <c r="AB31" s="52">
        <f>Tabella33374052[[#This Row],[2020]]/B21</f>
        <v>3.8151364764268003E-2</v>
      </c>
      <c r="AC31" s="52">
        <f>Tabella33374052[[#This Row],[2021]]/C21</f>
        <v>3.8255360623781702E-2</v>
      </c>
      <c r="AD31" s="52">
        <f>Tabella33374052[[#This Row],[2022]]/D21</f>
        <v>3.8355672570607985E-2</v>
      </c>
      <c r="AE31" s="52">
        <f>Tabella33374052[[#This Row],[2023]]/E21</f>
        <v>3.8452492944496763E-2</v>
      </c>
      <c r="AF31" s="52">
        <f>Tabella33374052[[#This Row],[2024]]/F21</f>
        <v>3.854600092464177E-2</v>
      </c>
      <c r="AG31" s="52">
        <f>Tabella33374052[[#This Row],[2025]]/G21</f>
        <v>3.8636363636363712E-2</v>
      </c>
      <c r="AH31" s="52">
        <f>Tabella33374052[[#This Row],[2026]]/H21</f>
        <v>4.8611512037411299E-2</v>
      </c>
      <c r="AI31" s="52">
        <f>Tabella33374052[[#This Row],[2027]]/I21</f>
        <v>5.8913273090012971E-2</v>
      </c>
      <c r="AJ31" s="52">
        <f>Tabella33374052[[#This Row],[2028]]/J21</f>
        <v>6.9557955019984546E-2</v>
      </c>
      <c r="AK31" s="52">
        <f>Tabella33374052[[#This Row],[2029]]/K21</f>
        <v>8.0562970152875571E-2</v>
      </c>
      <c r="AL31" s="52">
        <f>Tabella33374052[[#This Row],[2030]]/L21</f>
        <v>9.1946929959888929E-2</v>
      </c>
      <c r="AM31" s="52">
        <f>Tabella33374052[[#This Row],[2031]]/M21</f>
        <v>9.1946929959888915E-2</v>
      </c>
      <c r="AN31" s="52">
        <f>Tabella33374052[[#This Row],[2032]]/N21</f>
        <v>9.1946929959888929E-2</v>
      </c>
      <c r="AO31" s="52">
        <f>Tabella33374052[[#This Row],[2033]]/O21</f>
        <v>9.1946929959888915E-2</v>
      </c>
      <c r="AP31" s="52">
        <f>Tabella33374052[[#This Row],[2034]]/P21</f>
        <v>9.1946929959888929E-2</v>
      </c>
      <c r="AQ31" s="52">
        <f>Tabella33374052[[#This Row],[2035]]/Q21</f>
        <v>9.1946929959888929E-2</v>
      </c>
      <c r="AR31" s="52">
        <f>Tabella33374052[[#This Row],[2036]]/R21</f>
        <v>8.6158898876909751E-2</v>
      </c>
      <c r="AS31" s="52">
        <f>Tabella33374052[[#This Row],[2037]]/S21</f>
        <v>8.0144252487706846E-2</v>
      </c>
      <c r="AT31" s="52">
        <f>Tabella33374052[[#This Row],[2038]]/T21</f>
        <v>7.3889416254864351E-2</v>
      </c>
      <c r="AU31" s="52">
        <f>Tabella33374052[[#This Row],[2039]]/U21</f>
        <v>6.7379709376635094E-2</v>
      </c>
      <c r="AV31" s="52">
        <f>Tabella33374052[[#This Row],[2040]]/V21</f>
        <v>6.0599229748644248E-2</v>
      </c>
      <c r="AW31" s="52">
        <f>Tabella33374052[[#This Row],[2041]]/W21</f>
        <v>5.2874447050998086E-2</v>
      </c>
      <c r="AX31" s="52">
        <f>Tabella33374052[[#This Row],[2042]]/X21</f>
        <v>4.5149664353351923E-2</v>
      </c>
      <c r="AY31" s="52">
        <f>Tabella33374052[[#This Row],[2043]]/Y21</f>
        <v>3.7424881655705761E-2</v>
      </c>
      <c r="AZ31" s="52">
        <f>Tabella33374052[[#This Row],[2044]]/Z21</f>
        <v>2.9700098958059609E-2</v>
      </c>
      <c r="BA31" s="53">
        <f>Tabella33374052[[#This Row],[2045]]/AA21</f>
        <v>2.197531626041346E-2</v>
      </c>
      <c r="BC31">
        <v>3.8151364764268003E-2</v>
      </c>
      <c r="BD31">
        <v>3.8255360623781702E-2</v>
      </c>
      <c r="BE31">
        <v>3.8355672570607985E-2</v>
      </c>
      <c r="BF31">
        <v>3.8452492944496763E-2</v>
      </c>
      <c r="BG31">
        <v>3.854600092464177E-2</v>
      </c>
      <c r="BH31">
        <v>3.8636363636363712E-2</v>
      </c>
      <c r="BI31">
        <v>4.8611512037411299E-2</v>
      </c>
      <c r="BJ31">
        <v>5.8913273090012971E-2</v>
      </c>
      <c r="BK31">
        <v>6.9557955019984546E-2</v>
      </c>
      <c r="BL31">
        <v>8.0562970152875571E-2</v>
      </c>
      <c r="BM31">
        <v>9.1946929959888929E-2</v>
      </c>
      <c r="BN31">
        <v>9.1946929959888915E-2</v>
      </c>
      <c r="BO31">
        <v>9.1946929959888929E-2</v>
      </c>
      <c r="BP31">
        <v>9.1946929959888915E-2</v>
      </c>
      <c r="BQ31">
        <v>9.1946929959888929E-2</v>
      </c>
      <c r="BR31">
        <v>9.1946929959888929E-2</v>
      </c>
      <c r="BS31">
        <v>8.6158898876909751E-2</v>
      </c>
      <c r="BT31">
        <v>8.0144252487706846E-2</v>
      </c>
      <c r="BU31">
        <v>7.3889416254864351E-2</v>
      </c>
      <c r="BV31">
        <v>6.7379709376635094E-2</v>
      </c>
      <c r="BW31">
        <v>6.0599229748644248E-2</v>
      </c>
      <c r="BX31">
        <v>5.2874447050998086E-2</v>
      </c>
      <c r="BY31">
        <v>4.5149664353351923E-2</v>
      </c>
      <c r="BZ31">
        <v>3.7424881655705761E-2</v>
      </c>
      <c r="CA31">
        <v>2.9700098958059609E-2</v>
      </c>
      <c r="CB31">
        <v>2.197531626041346E-2</v>
      </c>
    </row>
    <row r="32" spans="1:80" x14ac:dyDescent="0.35">
      <c r="A32" s="49"/>
      <c r="B32" s="3"/>
      <c r="G32" s="3"/>
      <c r="L32" s="3"/>
      <c r="BA32" s="48"/>
    </row>
    <row r="33" spans="1:80" x14ac:dyDescent="0.35">
      <c r="A33" s="49" t="s">
        <v>80</v>
      </c>
      <c r="B33" s="3">
        <v>349132.6</v>
      </c>
      <c r="C33">
        <v>353077.12384000001</v>
      </c>
      <c r="D33">
        <v>357007.87776</v>
      </c>
      <c r="E33">
        <v>360924.86176</v>
      </c>
      <c r="F33">
        <v>364828.07584000006</v>
      </c>
      <c r="G33" s="3">
        <v>368717.52</v>
      </c>
      <c r="H33">
        <v>353623.50124000001</v>
      </c>
      <c r="I33">
        <v>338542.46155999997</v>
      </c>
      <c r="J33">
        <v>323474.40096</v>
      </c>
      <c r="K33">
        <v>308419.31943999988</v>
      </c>
      <c r="L33" s="3">
        <v>293377.217</v>
      </c>
      <c r="M33">
        <v>288326.16833952483</v>
      </c>
      <c r="N33">
        <v>283275.11967904959</v>
      </c>
      <c r="O33">
        <v>278224.07101857441</v>
      </c>
      <c r="P33">
        <v>273173.02235809923</v>
      </c>
      <c r="Q33">
        <v>268121.97369762405</v>
      </c>
      <c r="R33">
        <v>263070.92503714887</v>
      </c>
      <c r="S33">
        <v>258019.87637667367</v>
      </c>
      <c r="T33">
        <v>252968.82771619849</v>
      </c>
      <c r="U33">
        <v>247917.77905572328</v>
      </c>
      <c r="V33">
        <v>242866.73039524807</v>
      </c>
      <c r="W33">
        <v>242866.73039524807</v>
      </c>
      <c r="X33">
        <v>242866.73039524807</v>
      </c>
      <c r="Y33">
        <v>242866.73039524807</v>
      </c>
      <c r="Z33">
        <v>242866.73039524807</v>
      </c>
      <c r="AA33">
        <v>242866.73039524807</v>
      </c>
      <c r="AB33">
        <v>0.90818858560794047</v>
      </c>
      <c r="AC33">
        <v>0.89611257309941517</v>
      </c>
      <c r="AD33">
        <v>0.88442891335567242</v>
      </c>
      <c r="AE33">
        <v>0.87311712135465647</v>
      </c>
      <c r="AF33">
        <v>0.8621581137309291</v>
      </c>
      <c r="AG33">
        <v>0.85153409090909082</v>
      </c>
      <c r="AH33">
        <v>0.81906783672998085</v>
      </c>
      <c r="AI33">
        <v>0.7855712944490082</v>
      </c>
      <c r="AJ33">
        <v>0.75099302034242077</v>
      </c>
      <c r="AK33">
        <v>0.71527808784275648</v>
      </c>
      <c r="AL33">
        <v>0.67836778771983952</v>
      </c>
      <c r="AM33">
        <v>0.67836778771983952</v>
      </c>
      <c r="AN33">
        <v>0.67836778771983952</v>
      </c>
      <c r="AO33">
        <v>0.67836778771983952</v>
      </c>
      <c r="AP33">
        <v>0.67836778771983952</v>
      </c>
      <c r="AQ33">
        <v>0.67836778771983952</v>
      </c>
      <c r="AR33">
        <v>0.67836778771983952</v>
      </c>
      <c r="AS33">
        <v>0.67836778771983952</v>
      </c>
      <c r="AT33">
        <v>0.67836778771983952</v>
      </c>
      <c r="AU33">
        <v>0.67836778771983952</v>
      </c>
      <c r="AV33">
        <v>0.67836778771983952</v>
      </c>
      <c r="AW33">
        <v>0.67836778771983952</v>
      </c>
      <c r="AX33">
        <v>0.67836778771983952</v>
      </c>
      <c r="AY33">
        <v>0.67836778771983952</v>
      </c>
      <c r="AZ33">
        <v>0.67836778771983952</v>
      </c>
      <c r="BA33" s="48">
        <v>0.67836778771983952</v>
      </c>
    </row>
    <row r="34" spans="1:80" x14ac:dyDescent="0.35">
      <c r="A34" s="49"/>
      <c r="B34" s="3"/>
      <c r="G34" s="3"/>
      <c r="L34" s="3"/>
      <c r="P34" t="s">
        <v>115</v>
      </c>
      <c r="Q34">
        <f>Q33*0.761</f>
        <v>204040.82198389192</v>
      </c>
      <c r="R34">
        <f t="shared" ref="R34:AA34" si="6">R33*0.761</f>
        <v>200196.9739532703</v>
      </c>
      <c r="S34">
        <f t="shared" si="6"/>
        <v>196353.12592264867</v>
      </c>
      <c r="T34">
        <f t="shared" si="6"/>
        <v>192509.27789202705</v>
      </c>
      <c r="U34">
        <f t="shared" si="6"/>
        <v>188665.42986140543</v>
      </c>
      <c r="V34">
        <f t="shared" si="6"/>
        <v>184821.58183078378</v>
      </c>
      <c r="W34">
        <f t="shared" si="6"/>
        <v>184821.58183078378</v>
      </c>
      <c r="X34">
        <f t="shared" si="6"/>
        <v>184821.58183078378</v>
      </c>
      <c r="Y34">
        <f t="shared" si="6"/>
        <v>184821.58183078378</v>
      </c>
      <c r="Z34">
        <f t="shared" si="6"/>
        <v>184821.58183078378</v>
      </c>
      <c r="AA34">
        <f t="shared" si="6"/>
        <v>184821.58183078378</v>
      </c>
      <c r="BA34" s="48"/>
    </row>
    <row r="35" spans="1:80" x14ac:dyDescent="0.35">
      <c r="A35" s="49"/>
      <c r="B35" s="3"/>
      <c r="G35" s="3"/>
      <c r="L35" s="3"/>
      <c r="P35" t="s">
        <v>116</v>
      </c>
      <c r="Q35">
        <f>Q33*0.761</f>
        <v>204040.82198389192</v>
      </c>
      <c r="R35">
        <f>Q35+($AA$35-$Q$35)/10</f>
        <v>183636.73978550272</v>
      </c>
      <c r="S35">
        <f t="shared" ref="S35:Z35" si="7">R35+($AA$35-$Q$35)/10</f>
        <v>163232.65758711353</v>
      </c>
      <c r="T35">
        <f t="shared" si="7"/>
        <v>142828.57538872433</v>
      </c>
      <c r="U35">
        <f t="shared" si="7"/>
        <v>122424.49319033514</v>
      </c>
      <c r="V35">
        <f t="shared" si="7"/>
        <v>102020.41099194594</v>
      </c>
      <c r="W35">
        <f t="shared" si="7"/>
        <v>81616.32879355675</v>
      </c>
      <c r="X35">
        <f t="shared" si="7"/>
        <v>61212.246595167555</v>
      </c>
      <c r="Y35">
        <f t="shared" si="7"/>
        <v>40808.16439677836</v>
      </c>
      <c r="Z35">
        <f t="shared" si="7"/>
        <v>20404.082198389169</v>
      </c>
      <c r="AA35">
        <v>0</v>
      </c>
      <c r="BA35" s="48"/>
    </row>
    <row r="36" spans="1:80" x14ac:dyDescent="0.35">
      <c r="A36" s="49"/>
      <c r="B36" s="3"/>
      <c r="G36" s="3"/>
      <c r="L36" s="3"/>
      <c r="P36" t="s">
        <v>108</v>
      </c>
      <c r="Q36">
        <f t="shared" ref="Q36:AA36" si="8">Q34-Q35</f>
        <v>0</v>
      </c>
      <c r="R36">
        <f t="shared" si="8"/>
        <v>16560.234167767572</v>
      </c>
      <c r="S36">
        <f t="shared" si="8"/>
        <v>33120.468335535144</v>
      </c>
      <c r="T36">
        <f t="shared" si="8"/>
        <v>49680.702503302717</v>
      </c>
      <c r="U36">
        <f t="shared" si="8"/>
        <v>66240.936671070289</v>
      </c>
      <c r="V36">
        <f t="shared" si="8"/>
        <v>82801.170838837832</v>
      </c>
      <c r="W36">
        <f t="shared" si="8"/>
        <v>103205.25303722703</v>
      </c>
      <c r="X36">
        <f t="shared" si="8"/>
        <v>123609.33523561622</v>
      </c>
      <c r="Y36">
        <f t="shared" si="8"/>
        <v>144013.41743400542</v>
      </c>
      <c r="Z36">
        <f t="shared" si="8"/>
        <v>164417.49963239461</v>
      </c>
      <c r="AA36">
        <f t="shared" si="8"/>
        <v>184821.58183078378</v>
      </c>
      <c r="BA36" s="48"/>
      <c r="BC36">
        <v>0.90818858560794047</v>
      </c>
      <c r="BD36">
        <v>0.89611257309941517</v>
      </c>
      <c r="BE36">
        <v>0.88442891335567242</v>
      </c>
      <c r="BF36">
        <v>0.87311712135465647</v>
      </c>
      <c r="BG36">
        <v>0.8621581137309291</v>
      </c>
      <c r="BH36">
        <v>0.85153409090909082</v>
      </c>
      <c r="BI36">
        <v>0.81906783672998085</v>
      </c>
      <c r="BJ36">
        <v>0.7855712944490082</v>
      </c>
      <c r="BK36">
        <v>0.75099302034242077</v>
      </c>
      <c r="BL36">
        <v>0.71527808784275648</v>
      </c>
      <c r="BM36">
        <v>0.67836778771983952</v>
      </c>
      <c r="BN36">
        <v>0.67836778771983952</v>
      </c>
      <c r="BO36">
        <v>0.67836778771983952</v>
      </c>
      <c r="BP36">
        <v>0.67836778771983952</v>
      </c>
      <c r="BQ36">
        <v>0.67836778771983952</v>
      </c>
      <c r="BR36">
        <v>0.67836778771983952</v>
      </c>
      <c r="BS36">
        <v>0.6222534059953021</v>
      </c>
      <c r="BT36">
        <v>0.56394201157063284</v>
      </c>
      <c r="BU36">
        <v>0.50330200066496655</v>
      </c>
      <c r="BV36">
        <v>0.44019104437552914</v>
      </c>
      <c r="BW36">
        <v>0.37445497339287465</v>
      </c>
      <c r="BX36">
        <v>0.29956397871429968</v>
      </c>
      <c r="BY36">
        <v>0.22467298403572472</v>
      </c>
      <c r="BZ36">
        <v>0.14978198935714976</v>
      </c>
      <c r="CA36">
        <v>7.4890994678574824E-2</v>
      </c>
      <c r="CB36">
        <v>0</v>
      </c>
    </row>
    <row r="37" spans="1:80" x14ac:dyDescent="0.35">
      <c r="A37" s="50" t="s">
        <v>114</v>
      </c>
      <c r="B37" s="51">
        <v>349132.6</v>
      </c>
      <c r="C37" s="52">
        <v>353077.12384000001</v>
      </c>
      <c r="D37" s="52">
        <v>357007.87776</v>
      </c>
      <c r="E37" s="52">
        <v>360924.86176</v>
      </c>
      <c r="F37" s="52">
        <v>364828.07584000006</v>
      </c>
      <c r="G37" s="51">
        <v>368717.52</v>
      </c>
      <c r="H37" s="52">
        <v>353623.50124000001</v>
      </c>
      <c r="I37" s="52">
        <v>338542.46155999997</v>
      </c>
      <c r="J37" s="52">
        <v>323474.40096</v>
      </c>
      <c r="K37" s="52">
        <v>308419.31943999988</v>
      </c>
      <c r="L37" s="51">
        <v>293377.217</v>
      </c>
      <c r="M37" s="52">
        <v>288326.16833952483</v>
      </c>
      <c r="N37" s="52">
        <v>283275.11967904959</v>
      </c>
      <c r="O37" s="52">
        <v>278224.07101857441</v>
      </c>
      <c r="P37" s="52">
        <v>273173.02235809923</v>
      </c>
      <c r="Q37" s="52">
        <v>268121.97369762405</v>
      </c>
      <c r="R37" s="52">
        <f>R33-R36</f>
        <v>246510.6908693813</v>
      </c>
      <c r="S37" s="52">
        <f t="shared" ref="S37:AA37" si="9">S33-S36</f>
        <v>224899.40804113852</v>
      </c>
      <c r="T37" s="52">
        <f t="shared" si="9"/>
        <v>203288.12521289577</v>
      </c>
      <c r="U37" s="52">
        <f t="shared" si="9"/>
        <v>181676.84238465299</v>
      </c>
      <c r="V37" s="52">
        <f t="shared" si="9"/>
        <v>160065.55955641024</v>
      </c>
      <c r="W37" s="52">
        <f t="shared" si="9"/>
        <v>139661.47735802105</v>
      </c>
      <c r="X37" s="52">
        <f t="shared" si="9"/>
        <v>119257.39515963185</v>
      </c>
      <c r="Y37" s="52">
        <f t="shared" si="9"/>
        <v>98853.312961242656</v>
      </c>
      <c r="Z37" s="52">
        <f t="shared" si="9"/>
        <v>78449.230762853462</v>
      </c>
      <c r="AA37" s="52">
        <f t="shared" si="9"/>
        <v>58045.148564464296</v>
      </c>
      <c r="AB37" s="52">
        <f>Tabella33374052[[#This Row],[2020]]/B21</f>
        <v>0.93114143920595527</v>
      </c>
      <c r="AC37" s="52">
        <f>Tabella33374052[[#This Row],[2021]]/C21</f>
        <v>0.92468226120857699</v>
      </c>
      <c r="AD37" s="52">
        <f>Tabella33374052[[#This Row],[2022]]/D21</f>
        <v>0.9184164672091909</v>
      </c>
      <c r="AE37" s="52">
        <f>Tabella33374052[[#This Row],[2023]]/E21</f>
        <v>0.91233396048918136</v>
      </c>
      <c r="AF37" s="52">
        <f>Tabella33374052[[#This Row],[2024]]/F21</f>
        <v>0.9064253351826167</v>
      </c>
      <c r="AG37" s="52">
        <f>Tabella33374052[[#This Row],[2025]]/G21</f>
        <v>0.90068181818181814</v>
      </c>
      <c r="AH37" s="52">
        <f>Tabella33374052[[#This Row],[2026]]/H21</f>
        <v>0.87772495814329421</v>
      </c>
      <c r="AI37" s="52">
        <f>Tabella33374052[[#This Row],[2027]]/I21</f>
        <v>0.85404917263232005</v>
      </c>
      <c r="AJ37" s="52">
        <f>Tabella33374052[[#This Row],[2028]]/J21</f>
        <v>0.82961856469605688</v>
      </c>
      <c r="AK37" s="52">
        <f>Tabella33374052[[#This Row],[2029]]/K21</f>
        <v>0.80439480708565869</v>
      </c>
      <c r="AL37" s="52">
        <f>Tabella33374052[[#This Row],[2030]]/L21</f>
        <v>0.77833693304535645</v>
      </c>
      <c r="AM37" s="52">
        <f>Tabella33374052[[#This Row],[2031]]/M21</f>
        <v>0.77833693304535645</v>
      </c>
      <c r="AN37" s="52">
        <f>Tabella33374052[[#This Row],[2032]]/N21</f>
        <v>0.77833693304535634</v>
      </c>
      <c r="AO37" s="52">
        <f>Tabella33374052[[#This Row],[2033]]/O21</f>
        <v>0.77833693304535634</v>
      </c>
      <c r="AP37" s="52">
        <f>Tabella33374052[[#This Row],[2034]]/P21</f>
        <v>0.77833693304535634</v>
      </c>
      <c r="AQ37" s="52">
        <f>Tabella33374052[[#This Row],[2035]]/Q21</f>
        <v>0.77833693304535645</v>
      </c>
      <c r="AR37" s="52">
        <f>Tabella33374052[[#This Row],[2036]]/R21</f>
        <v>0.72934086146947585</v>
      </c>
      <c r="AS37" s="52">
        <f>Tabella33374052[[#This Row],[2037]]/S21</f>
        <v>0.67842647611733031</v>
      </c>
      <c r="AT37" s="52">
        <f>Tabella33374052[[#This Row],[2038]]/T21</f>
        <v>0.62547886761865201</v>
      </c>
      <c r="AU37" s="52">
        <f>Tabella33374052[[#This Row],[2039]]/U21</f>
        <v>0.57037376200136225</v>
      </c>
      <c r="AV37" s="52">
        <f>Tabella33374052[[#This Row],[2040]]/V21</f>
        <v>0.51297654688467287</v>
      </c>
      <c r="AW37" s="52">
        <f>Tabella33374052[[#This Row],[2041]]/W21</f>
        <v>0.44758574290730629</v>
      </c>
      <c r="AX37" s="52">
        <f>Tabella33374052[[#This Row],[2042]]/X21</f>
        <v>0.38219493892993978</v>
      </c>
      <c r="AY37" s="52">
        <f>Tabella33374052[[#This Row],[2043]]/Y21</f>
        <v>0.3168041349525732</v>
      </c>
      <c r="AZ37" s="52">
        <f>Tabella33374052[[#This Row],[2044]]/Z21</f>
        <v>0.25141333097520663</v>
      </c>
      <c r="BA37" s="53">
        <f>Tabella33374052[[#This Row],[2045]]/AA21</f>
        <v>0.18602252699784019</v>
      </c>
      <c r="BC37">
        <v>0.93114143920595527</v>
      </c>
      <c r="BD37">
        <v>0.92468226120857699</v>
      </c>
      <c r="BE37">
        <v>0.9184164672091909</v>
      </c>
      <c r="BF37">
        <v>0.91233396048918136</v>
      </c>
      <c r="BG37">
        <v>0.9064253351826167</v>
      </c>
      <c r="BH37">
        <v>0.90068181818181814</v>
      </c>
      <c r="BI37">
        <v>0.87772495814329421</v>
      </c>
      <c r="BJ37">
        <v>0.85404917263232005</v>
      </c>
      <c r="BK37">
        <v>0.82961856469605688</v>
      </c>
      <c r="BL37">
        <v>0.80439480708565869</v>
      </c>
      <c r="BM37">
        <v>0.77833693304535645</v>
      </c>
      <c r="BN37">
        <v>0.77833693304535645</v>
      </c>
      <c r="BO37">
        <v>0.77833693304535634</v>
      </c>
      <c r="BP37">
        <v>0.77833693304535634</v>
      </c>
      <c r="BQ37">
        <v>0.77833693304535634</v>
      </c>
      <c r="BR37">
        <v>0.77833693304535645</v>
      </c>
      <c r="BS37">
        <v>0.72934086146947585</v>
      </c>
      <c r="BT37">
        <v>0.67842647611733031</v>
      </c>
      <c r="BU37">
        <v>0.62547886761865201</v>
      </c>
      <c r="BV37">
        <v>0.57037376200136225</v>
      </c>
      <c r="BW37">
        <v>0.51297654688467287</v>
      </c>
      <c r="BX37">
        <v>0.44758574290730629</v>
      </c>
      <c r="BY37">
        <v>0.38219493892993978</v>
      </c>
      <c r="BZ37">
        <v>0.3168041349525732</v>
      </c>
      <c r="CA37">
        <v>0.25141333097520663</v>
      </c>
      <c r="CB37">
        <v>0.18602252699784019</v>
      </c>
    </row>
    <row r="38" spans="1:80" x14ac:dyDescent="0.35">
      <c r="A38" s="49"/>
      <c r="B38" s="3"/>
      <c r="G38" s="3"/>
      <c r="L38" s="3"/>
      <c r="BA38" s="48"/>
    </row>
    <row r="39" spans="1:80" x14ac:dyDescent="0.35">
      <c r="A39" s="49" t="s">
        <v>84</v>
      </c>
      <c r="B39" s="3">
        <v>0</v>
      </c>
      <c r="C39">
        <v>381.83616000000006</v>
      </c>
      <c r="D39">
        <v>777.44224000000008</v>
      </c>
      <c r="E39">
        <v>1186.8182400000003</v>
      </c>
      <c r="F39">
        <v>1609.9641600000004</v>
      </c>
      <c r="G39" s="3">
        <v>2046.8800000000003</v>
      </c>
      <c r="H39">
        <v>2417.3187600000001</v>
      </c>
      <c r="I39">
        <v>2774.77844</v>
      </c>
      <c r="J39">
        <v>3119.2590399999995</v>
      </c>
      <c r="K39">
        <v>3450.7605599999997</v>
      </c>
      <c r="L39" s="3">
        <v>3769.2830000000008</v>
      </c>
      <c r="M39">
        <v>3704.3876</v>
      </c>
      <c r="N39">
        <v>3639.4921999999997</v>
      </c>
      <c r="O39">
        <v>3574.5967999999993</v>
      </c>
      <c r="P39">
        <v>3509.701399999999</v>
      </c>
      <c r="Q39">
        <v>3444.8059999999987</v>
      </c>
      <c r="R39">
        <v>3379.9105999999983</v>
      </c>
      <c r="S39">
        <v>3315.015199999998</v>
      </c>
      <c r="T39">
        <v>3250.1197999999977</v>
      </c>
      <c r="U39">
        <v>3185.2243999999973</v>
      </c>
      <c r="V39">
        <v>3120.3289999999965</v>
      </c>
      <c r="W39">
        <v>3120.3289999999965</v>
      </c>
      <c r="X39">
        <v>3120.3289999999965</v>
      </c>
      <c r="Y39">
        <v>3120.3289999999965</v>
      </c>
      <c r="Z39">
        <v>3120.3289999999965</v>
      </c>
      <c r="AA39">
        <v>3120.3289999999965</v>
      </c>
      <c r="AB39">
        <v>0</v>
      </c>
      <c r="AC39">
        <v>1E-3</v>
      </c>
      <c r="AD39">
        <v>2E-3</v>
      </c>
      <c r="AE39">
        <v>3.0000000000000001E-3</v>
      </c>
      <c r="AF39">
        <v>4.0000000000000001E-3</v>
      </c>
      <c r="AG39">
        <v>5.0000000000000001E-3</v>
      </c>
      <c r="AH39">
        <v>6.0000000000000001E-3</v>
      </c>
      <c r="AI39">
        <v>7.0000000000000001E-3</v>
      </c>
      <c r="AJ39">
        <v>8.0000000000000002E-3</v>
      </c>
      <c r="AK39">
        <v>9.0000000000000011E-3</v>
      </c>
      <c r="AL39">
        <v>1.0000000000000002E-2</v>
      </c>
      <c r="AM39">
        <v>1.0000000000000002E-2</v>
      </c>
      <c r="AN39">
        <v>1.0000000000000002E-2</v>
      </c>
      <c r="AO39">
        <v>1.0000000000000002E-2</v>
      </c>
      <c r="AP39">
        <v>1.0000000000000002E-2</v>
      </c>
      <c r="AQ39">
        <v>1.0000000000000002E-2</v>
      </c>
      <c r="AR39">
        <v>1.0000000000000002E-2</v>
      </c>
      <c r="AS39">
        <v>1.0000000000000002E-2</v>
      </c>
      <c r="AT39">
        <v>1.0000000000000002E-2</v>
      </c>
      <c r="AU39">
        <v>1.0000000000000002E-2</v>
      </c>
      <c r="AV39">
        <v>1.0000000000000002E-2</v>
      </c>
      <c r="AW39">
        <v>1.0000000000000002E-2</v>
      </c>
      <c r="AX39">
        <v>1.0000000000000002E-2</v>
      </c>
      <c r="AY39">
        <v>1.0000000000000002E-2</v>
      </c>
      <c r="AZ39">
        <v>1.0000000000000002E-2</v>
      </c>
      <c r="BA39" s="48">
        <v>1.0000000000000002E-2</v>
      </c>
    </row>
    <row r="40" spans="1:80" x14ac:dyDescent="0.35">
      <c r="A40" s="49" t="s">
        <v>113</v>
      </c>
      <c r="B40" s="3"/>
      <c r="G40" s="3"/>
      <c r="L40" s="3"/>
      <c r="Q40" s="37">
        <f>Q39/(Q23+Q39)</f>
        <v>7.7091410765681212E-2</v>
      </c>
      <c r="R40" s="37">
        <f t="shared" ref="R40:AA40" si="10">R39/(R23+R39)</f>
        <v>7.7091410765681212E-2</v>
      </c>
      <c r="S40" s="37">
        <f t="shared" si="10"/>
        <v>7.7091410765681226E-2</v>
      </c>
      <c r="T40" s="37">
        <f t="shared" si="10"/>
        <v>7.7091410765681212E-2</v>
      </c>
      <c r="U40" s="37">
        <f t="shared" si="10"/>
        <v>7.7091410765681226E-2</v>
      </c>
      <c r="V40" s="37">
        <f t="shared" si="10"/>
        <v>7.7091410765681198E-2</v>
      </c>
      <c r="W40" s="37">
        <f t="shared" si="10"/>
        <v>7.7091410765681198E-2</v>
      </c>
      <c r="X40" s="37">
        <f t="shared" si="10"/>
        <v>7.7091410765681198E-2</v>
      </c>
      <c r="Y40" s="37">
        <f t="shared" si="10"/>
        <v>7.7091410765681198E-2</v>
      </c>
      <c r="Z40" s="37">
        <f t="shared" si="10"/>
        <v>7.7091410765681198E-2</v>
      </c>
      <c r="AA40" s="37">
        <f t="shared" si="10"/>
        <v>7.7091410765681198E-2</v>
      </c>
      <c r="BA40" s="48"/>
    </row>
    <row r="41" spans="1:80" ht="15" thickBot="1" x14ac:dyDescent="0.4">
      <c r="A41" s="54" t="s">
        <v>112</v>
      </c>
      <c r="B41" s="55">
        <v>0</v>
      </c>
      <c r="C41" s="56">
        <v>381.83616000000006</v>
      </c>
      <c r="D41" s="56">
        <v>777.44224000000008</v>
      </c>
      <c r="E41" s="56">
        <v>1186.8182400000003</v>
      </c>
      <c r="F41" s="56">
        <v>1609.9641600000004</v>
      </c>
      <c r="G41" s="55">
        <v>2046.8800000000003</v>
      </c>
      <c r="H41" s="56">
        <v>2417.3187600000001</v>
      </c>
      <c r="I41" s="56">
        <v>2774.77844</v>
      </c>
      <c r="J41" s="56">
        <v>3119.2590399999995</v>
      </c>
      <c r="K41" s="56">
        <v>3450.7605599999997</v>
      </c>
      <c r="L41" s="55">
        <v>3769.2830000000008</v>
      </c>
      <c r="M41" s="56">
        <v>3704.3876</v>
      </c>
      <c r="N41" s="56">
        <v>3639.4921999999997</v>
      </c>
      <c r="O41" s="56">
        <v>3574.5967999999993</v>
      </c>
      <c r="P41" s="56">
        <v>3509.701399999999</v>
      </c>
      <c r="Q41" s="56">
        <v>3444.8059999999987</v>
      </c>
      <c r="R41" s="56">
        <f>R39+R40*(R36+R30)</f>
        <v>4807.3765543373065</v>
      </c>
      <c r="S41" s="56">
        <f t="shared" ref="S41:AA41" si="11">S39+S40*(S36+S30)</f>
        <v>6169.9471086746144</v>
      </c>
      <c r="T41" s="56">
        <f t="shared" si="11"/>
        <v>7532.5176630119213</v>
      </c>
      <c r="U41" s="56">
        <f t="shared" si="11"/>
        <v>8895.08821734923</v>
      </c>
      <c r="V41" s="56">
        <f t="shared" si="11"/>
        <v>10257.658771686532</v>
      </c>
      <c r="W41" s="56">
        <f t="shared" si="11"/>
        <v>12016.458337721104</v>
      </c>
      <c r="X41" s="56">
        <f t="shared" si="11"/>
        <v>13775.257903755677</v>
      </c>
      <c r="Y41" s="56">
        <f t="shared" si="11"/>
        <v>15534.057469790248</v>
      </c>
      <c r="Z41" s="56">
        <f t="shared" si="11"/>
        <v>17292.857035824822</v>
      </c>
      <c r="AA41" s="56">
        <f t="shared" si="11"/>
        <v>19051.656601859391</v>
      </c>
      <c r="AB41" s="56">
        <f>Tabella33374052[[#This Row],[2020]]/B21</f>
        <v>0</v>
      </c>
      <c r="AC41" s="56">
        <f>Tabella33374052[[#This Row],[2021]]/C21</f>
        <v>1E-3</v>
      </c>
      <c r="AD41" s="56">
        <f>Tabella33374052[[#This Row],[2022]]/D21</f>
        <v>2E-3</v>
      </c>
      <c r="AE41" s="56">
        <f>Tabella33374052[[#This Row],[2023]]/E21</f>
        <v>3.0000000000000001E-3</v>
      </c>
      <c r="AF41" s="56">
        <f>Tabella33374052[[#This Row],[2024]]/F21</f>
        <v>4.0000000000000001E-3</v>
      </c>
      <c r="AG41" s="56">
        <f>Tabella33374052[[#This Row],[2025]]/G21</f>
        <v>5.0000000000000001E-3</v>
      </c>
      <c r="AH41" s="56">
        <f>Tabella33374052[[#This Row],[2026]]/H21</f>
        <v>6.0000000000000001E-3</v>
      </c>
      <c r="AI41" s="56">
        <f>Tabella33374052[[#This Row],[2027]]/I21</f>
        <v>7.0000000000000001E-3</v>
      </c>
      <c r="AJ41" s="56">
        <f>Tabella33374052[[#This Row],[2028]]/J21</f>
        <v>8.0000000000000002E-3</v>
      </c>
      <c r="AK41" s="56">
        <f>Tabella33374052[[#This Row],[2029]]/K21</f>
        <v>9.0000000000000011E-3</v>
      </c>
      <c r="AL41" s="56">
        <f>Tabella33374052[[#This Row],[2030]]/L21</f>
        <v>1.0000000000000002E-2</v>
      </c>
      <c r="AM41" s="56">
        <f>Tabella33374052[[#This Row],[2031]]/M21</f>
        <v>1.0000000000000002E-2</v>
      </c>
      <c r="AN41" s="56">
        <f>Tabella33374052[[#This Row],[2032]]/N21</f>
        <v>1.0000000000000002E-2</v>
      </c>
      <c r="AO41" s="56">
        <f>Tabella33374052[[#This Row],[2033]]/O21</f>
        <v>1.0000000000000002E-2</v>
      </c>
      <c r="AP41" s="56">
        <f>Tabella33374052[[#This Row],[2034]]/P21</f>
        <v>1.0000000000000002E-2</v>
      </c>
      <c r="AQ41" s="56">
        <f>Tabella33374052[[#This Row],[2035]]/Q21</f>
        <v>1.0000000000000002E-2</v>
      </c>
      <c r="AR41" s="56">
        <f>Tabella33374052[[#This Row],[2036]]/R21</f>
        <v>1.4223383761503356E-2</v>
      </c>
      <c r="AS41" s="56">
        <f>Tabella33374052[[#This Row],[2037]]/S21</f>
        <v>1.8612123131968202E-2</v>
      </c>
      <c r="AT41" s="56">
        <f>Tabella33374052[[#This Row],[2038]]/T21</f>
        <v>2.3176123117098418E-2</v>
      </c>
      <c r="AU41" s="56">
        <f>Tabella33374052[[#This Row],[2039]]/U21</f>
        <v>2.7926095936440899E-2</v>
      </c>
      <c r="AV41" s="56">
        <f>Tabella33374052[[#This Row],[2040]]/V21</f>
        <v>3.2873644963997528E-2</v>
      </c>
      <c r="AW41" s="56">
        <f>Tabella33374052[[#This Row],[2041]]/W21</f>
        <v>3.85102286897347E-2</v>
      </c>
      <c r="AX41" s="56">
        <f>Tabella33374052[[#This Row],[2042]]/X21</f>
        <v>4.4146812415471873E-2</v>
      </c>
      <c r="AY41" s="56">
        <f>Tabella33374052[[#This Row],[2043]]/Y21</f>
        <v>4.9783396141209045E-2</v>
      </c>
      <c r="AZ41" s="56">
        <f>Tabella33374052[[#This Row],[2044]]/Z21</f>
        <v>5.5419979866946217E-2</v>
      </c>
      <c r="BA41" s="57">
        <f>Tabella33374052[[#This Row],[2045]]/AA21</f>
        <v>6.1056563592683383E-2</v>
      </c>
      <c r="BC41">
        <v>0</v>
      </c>
      <c r="BD41">
        <v>1E-3</v>
      </c>
      <c r="BE41">
        <v>2E-3</v>
      </c>
      <c r="BF41">
        <v>3.0000000000000001E-3</v>
      </c>
      <c r="BG41">
        <v>4.0000000000000001E-3</v>
      </c>
      <c r="BH41">
        <v>5.0000000000000001E-3</v>
      </c>
      <c r="BI41">
        <v>6.0000000000000001E-3</v>
      </c>
      <c r="BJ41">
        <v>7.0000000000000001E-3</v>
      </c>
      <c r="BK41">
        <v>8.0000000000000002E-3</v>
      </c>
      <c r="BL41">
        <v>9.0000000000000011E-3</v>
      </c>
      <c r="BM41">
        <v>1.0000000000000002E-2</v>
      </c>
      <c r="BN41">
        <v>1.0000000000000002E-2</v>
      </c>
      <c r="BO41">
        <v>1.0000000000000002E-2</v>
      </c>
      <c r="BP41">
        <v>1.0000000000000002E-2</v>
      </c>
      <c r="BQ41">
        <v>1.0000000000000002E-2</v>
      </c>
      <c r="BR41">
        <v>1.0000000000000002E-2</v>
      </c>
      <c r="BS41">
        <v>1.4223383761503356E-2</v>
      </c>
      <c r="BT41">
        <v>1.8612123131968202E-2</v>
      </c>
      <c r="BU41">
        <v>2.3176123117098418E-2</v>
      </c>
      <c r="BV41">
        <v>2.7926095936440899E-2</v>
      </c>
      <c r="BW41">
        <v>3.2873644963997528E-2</v>
      </c>
      <c r="BX41">
        <v>3.85102286897347E-2</v>
      </c>
      <c r="BY41">
        <v>4.4146812415471873E-2</v>
      </c>
      <c r="BZ41">
        <v>4.9783396141209045E-2</v>
      </c>
      <c r="CA41">
        <v>5.5419979866946217E-2</v>
      </c>
      <c r="CB41">
        <v>6.1056563592683383E-2</v>
      </c>
    </row>
    <row r="43" spans="1:80" x14ac:dyDescent="0.35">
      <c r="A43" s="3" t="s">
        <v>31</v>
      </c>
      <c r="B43" s="3">
        <v>172063.524</v>
      </c>
      <c r="C43">
        <v>169045.77160000001</v>
      </c>
      <c r="D43">
        <v>166028.01920000001</v>
      </c>
      <c r="E43">
        <v>163010.26680000001</v>
      </c>
      <c r="F43">
        <v>159992.51440000001</v>
      </c>
      <c r="G43" s="3">
        <v>156974.76200000002</v>
      </c>
      <c r="H43">
        <v>153957.00960000002</v>
      </c>
      <c r="I43">
        <v>150939.25720000002</v>
      </c>
      <c r="J43">
        <v>147921.50480000002</v>
      </c>
      <c r="K43">
        <v>144903.75240000003</v>
      </c>
      <c r="L43" s="3">
        <v>141886</v>
      </c>
      <c r="M43">
        <v>139585.58599999998</v>
      </c>
      <c r="N43">
        <v>137285.17199999996</v>
      </c>
      <c r="O43">
        <v>134984.75799999994</v>
      </c>
      <c r="P43">
        <v>132684.34399999992</v>
      </c>
      <c r="Q43">
        <v>130383.92999999991</v>
      </c>
      <c r="R43">
        <v>128083.51599999989</v>
      </c>
      <c r="S43">
        <v>125783.10199999987</v>
      </c>
      <c r="T43">
        <v>123482.68799999985</v>
      </c>
      <c r="U43">
        <v>121182.27399999983</v>
      </c>
      <c r="V43">
        <v>118881.85999999981</v>
      </c>
      <c r="W43">
        <v>118881.85999999981</v>
      </c>
      <c r="X43">
        <v>118881.85999999981</v>
      </c>
      <c r="Y43">
        <v>118881.85999999981</v>
      </c>
      <c r="Z43">
        <v>118881.85999999981</v>
      </c>
      <c r="AA43">
        <v>118881.85999999981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0.99999999999999978</v>
      </c>
      <c r="AH43">
        <v>0.99999999999999967</v>
      </c>
      <c r="AI43">
        <v>0.99999999999999978</v>
      </c>
      <c r="AJ43">
        <v>0.99999999999999967</v>
      </c>
      <c r="AK43">
        <v>0.99999999999999967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</row>
    <row r="44" spans="1:80" x14ac:dyDescent="0.35">
      <c r="A44" t="s">
        <v>13</v>
      </c>
      <c r="B44" s="3">
        <v>2825.5052072480098</v>
      </c>
      <c r="C44">
        <v>4011.0739513291992</v>
      </c>
      <c r="D44">
        <v>5196.6426954103881</v>
      </c>
      <c r="E44">
        <v>6382.211439491577</v>
      </c>
      <c r="F44">
        <v>7567.780183572766</v>
      </c>
      <c r="G44" s="3">
        <v>8753.3489276539549</v>
      </c>
      <c r="H44">
        <v>9938.9176717351438</v>
      </c>
      <c r="I44">
        <v>11124.486415816333</v>
      </c>
      <c r="J44">
        <v>12310.055159897522</v>
      </c>
      <c r="K44">
        <v>13495.623903978711</v>
      </c>
      <c r="L44" s="3">
        <v>14681.192648059901</v>
      </c>
      <c r="M44">
        <f>M$43*Tabella33374052[[#This Row],[2031%]]</f>
        <v>14443.164786929879</v>
      </c>
      <c r="N44">
        <f>N$43*Tabella33374052[[#This Row],[2032%]]</f>
        <v>14205.136925799856</v>
      </c>
      <c r="O44">
        <f>O$43*Tabella33374052[[#This Row],[2033%]]</f>
        <v>13967.109064669834</v>
      </c>
      <c r="P44">
        <f>P$43*Tabella33374052[[#This Row],[2034%]]</f>
        <v>13729.081203539812</v>
      </c>
      <c r="Q44">
        <f>Q$43*Tabella33374052[[#This Row],[2035%]]</f>
        <v>13491.05334240979</v>
      </c>
      <c r="R44">
        <f>R$43*Tabella33374052[[#This Row],[2036%]]</f>
        <v>13253.025481279767</v>
      </c>
      <c r="S44">
        <f>S$43*Tabella33374052[[#This Row],[2037%]]</f>
        <v>13014.997620149745</v>
      </c>
      <c r="T44">
        <f>T$43*Tabella33374052[[#This Row],[2038%]]</f>
        <v>12776.969759019723</v>
      </c>
      <c r="U44">
        <f>U$43*Tabella33374052[[#This Row],[2039%]]</f>
        <v>12538.941897889701</v>
      </c>
      <c r="V44">
        <f>V$43*Tabella33374052[[#This Row],[2040%]]</f>
        <v>12300.914036759677</v>
      </c>
      <c r="W44">
        <f>W$43*Tabella33374052[[#This Row],[2041%]]</f>
        <v>12300.914036759677</v>
      </c>
      <c r="X44">
        <f>X$43*Tabella33374052[[#This Row],[2042%]]</f>
        <v>12300.914036759677</v>
      </c>
      <c r="Y44">
        <f>Y$43*Tabella33374052[[#This Row],[2043%]]</f>
        <v>12300.914036759677</v>
      </c>
      <c r="Z44">
        <f>Z$43*Tabella33374052[[#This Row],[2044%]]</f>
        <v>12300.914036759677</v>
      </c>
      <c r="AA44">
        <f>AA$43*Tabella33374052[[#This Row],[2045%]]</f>
        <v>12300.914036759677</v>
      </c>
      <c r="AB44">
        <v>1.6421291053227583E-2</v>
      </c>
      <c r="AC44">
        <v>2.3727739022187996E-2</v>
      </c>
      <c r="AD44">
        <v>3.1299793374938899E-2</v>
      </c>
      <c r="AE44">
        <v>3.9152205347421566E-2</v>
      </c>
      <c r="AF44">
        <v>4.7300839117087878E-2</v>
      </c>
      <c r="AG44">
        <v>5.5762778781304694E-2</v>
      </c>
      <c r="AH44">
        <v>6.455644791723171E-2</v>
      </c>
      <c r="AI44">
        <v>7.3701743483976359E-2</v>
      </c>
      <c r="AJ44">
        <v>8.3220186115207234E-2</v>
      </c>
      <c r="AK44">
        <v>9.3135089191649589E-2</v>
      </c>
      <c r="AL44">
        <v>0.10347174948944858</v>
      </c>
      <c r="AM44">
        <v>0.10347174948944858</v>
      </c>
      <c r="AN44">
        <v>0.10347174948944858</v>
      </c>
      <c r="AO44">
        <v>0.10347174948944858</v>
      </c>
      <c r="AP44">
        <v>0.10347174948944858</v>
      </c>
      <c r="AQ44">
        <v>0.10347174948944858</v>
      </c>
      <c r="AR44">
        <v>0.10347174948944858</v>
      </c>
      <c r="AS44">
        <v>0.10347174948944858</v>
      </c>
      <c r="AT44">
        <v>0.10347174948944858</v>
      </c>
      <c r="AU44">
        <v>0.10347174948944858</v>
      </c>
      <c r="AV44">
        <v>0.10347174948944858</v>
      </c>
      <c r="AW44">
        <v>0.10347174948944858</v>
      </c>
      <c r="AX44">
        <v>0.10347174948944858</v>
      </c>
      <c r="AY44">
        <v>0.10347174948944858</v>
      </c>
      <c r="AZ44">
        <v>0.10347174948944858</v>
      </c>
      <c r="BA44">
        <v>0.10347174948944858</v>
      </c>
    </row>
    <row r="45" spans="1:80" x14ac:dyDescent="0.35">
      <c r="A45" t="s">
        <v>12</v>
      </c>
      <c r="B45" s="3">
        <v>5358.7167723669381</v>
      </c>
      <c r="C45">
        <v>5170.5575525842942</v>
      </c>
      <c r="D45">
        <v>4982.3983328016502</v>
      </c>
      <c r="E45">
        <v>4794.2391130190063</v>
      </c>
      <c r="F45">
        <v>4606.0798932363623</v>
      </c>
      <c r="G45" s="3">
        <v>4417.9206734537183</v>
      </c>
      <c r="H45">
        <v>4229.7614536710744</v>
      </c>
      <c r="I45">
        <v>4041.6022338884304</v>
      </c>
      <c r="J45">
        <v>3853.4430141057865</v>
      </c>
      <c r="K45">
        <v>3665.2837943231425</v>
      </c>
      <c r="L45" s="3">
        <v>3477.1245745404985</v>
      </c>
      <c r="M45">
        <f>M$43*Tabella33374052[[#This Row],[2031%]]</f>
        <v>3420.7495547991775</v>
      </c>
      <c r="N45">
        <f>N$43*Tabella33374052[[#This Row],[2032%]]</f>
        <v>3364.3745350578565</v>
      </c>
      <c r="O45">
        <f>O$43*Tabella33374052[[#This Row],[2033%]]</f>
        <v>3307.9995153165355</v>
      </c>
      <c r="P45">
        <f>P$43*Tabella33374052[[#This Row],[2034%]]</f>
        <v>3251.6244955752145</v>
      </c>
      <c r="Q45">
        <f>Q$43*Tabella33374052[[#This Row],[2035%]]</f>
        <v>3195.2494758338935</v>
      </c>
      <c r="R45">
        <f>R$43*Tabella33374052[[#This Row],[2036%]]</f>
        <v>3138.8744560925725</v>
      </c>
      <c r="S45">
        <f>S$43*Tabella33374052[[#This Row],[2037%]]</f>
        <v>3082.4994363512515</v>
      </c>
      <c r="T45">
        <f>T$43*Tabella33374052[[#This Row],[2038%]]</f>
        <v>3026.1244166099304</v>
      </c>
      <c r="U45">
        <f>U$43*Tabella33374052[[#This Row],[2039%]]</f>
        <v>2969.7493968686094</v>
      </c>
      <c r="V45">
        <f>V$43*Tabella33374052[[#This Row],[2040%]]</f>
        <v>2913.3743771272884</v>
      </c>
      <c r="W45">
        <f>W$43*Tabella33374052[[#This Row],[2041%]]</f>
        <v>2913.3743771272884</v>
      </c>
      <c r="X45">
        <f>X$43*Tabella33374052[[#This Row],[2042%]]</f>
        <v>2913.3743771272884</v>
      </c>
      <c r="Y45">
        <f>Y$43*Tabella33374052[[#This Row],[2043%]]</f>
        <v>2913.3743771272884</v>
      </c>
      <c r="Z45">
        <f>Z$43*Tabella33374052[[#This Row],[2044%]]</f>
        <v>2913.3743771272884</v>
      </c>
      <c r="AA45">
        <f>AA$43*Tabella33374052[[#This Row],[2045%]]</f>
        <v>2913.3743771272884</v>
      </c>
      <c r="AB45">
        <v>3.1143827859569689E-2</v>
      </c>
      <c r="AC45">
        <v>3.0586731058964235E-2</v>
      </c>
      <c r="AD45">
        <v>3.0009382493443912E-2</v>
      </c>
      <c r="AE45">
        <v>2.9410657421358236E-2</v>
      </c>
      <c r="AF45">
        <v>2.8789346242291208E-2</v>
      </c>
      <c r="AG45">
        <v>2.8144146340248744E-2</v>
      </c>
      <c r="AH45">
        <v>2.7473652967542918E-2</v>
      </c>
      <c r="AI45">
        <v>2.6776349035116557E-2</v>
      </c>
      <c r="AJ45">
        <v>2.6050593653139918E-2</v>
      </c>
      <c r="AK45">
        <v>2.5294609239692414E-2</v>
      </c>
      <c r="AL45">
        <v>2.4506466984343053E-2</v>
      </c>
      <c r="AM45">
        <v>2.4506466984343053E-2</v>
      </c>
      <c r="AN45">
        <v>2.4506466984343053E-2</v>
      </c>
      <c r="AO45">
        <v>2.4506466984343053E-2</v>
      </c>
      <c r="AP45">
        <v>2.4506466984343053E-2</v>
      </c>
      <c r="AQ45">
        <v>2.4506466984343053E-2</v>
      </c>
      <c r="AR45">
        <v>2.4506466984343053E-2</v>
      </c>
      <c r="AS45">
        <v>2.4506466984343053E-2</v>
      </c>
      <c r="AT45">
        <v>2.4506466984343053E-2</v>
      </c>
      <c r="AU45">
        <v>2.4506466984343053E-2</v>
      </c>
      <c r="AV45">
        <v>2.4506466984343053E-2</v>
      </c>
      <c r="AW45">
        <v>2.4506466984343053E-2</v>
      </c>
      <c r="AX45">
        <v>2.4506466984343053E-2</v>
      </c>
      <c r="AY45">
        <v>2.4506466984343053E-2</v>
      </c>
      <c r="AZ45">
        <v>2.4506466984343053E-2</v>
      </c>
      <c r="BA45">
        <v>2.4506466984343053E-2</v>
      </c>
    </row>
    <row r="46" spans="1:80" x14ac:dyDescent="0.35">
      <c r="A46" t="s">
        <v>11</v>
      </c>
      <c r="B46" s="3">
        <v>81062.770083805226</v>
      </c>
      <c r="C46">
        <v>80190.843926343689</v>
      </c>
      <c r="D46">
        <v>79318.917768882151</v>
      </c>
      <c r="E46">
        <v>78446.991611420613</v>
      </c>
      <c r="F46">
        <v>77575.065453959076</v>
      </c>
      <c r="G46" s="3">
        <v>76703.139296497538</v>
      </c>
      <c r="H46">
        <v>75831.213139036001</v>
      </c>
      <c r="I46">
        <v>74959.286981574463</v>
      </c>
      <c r="J46">
        <v>74087.360824112926</v>
      </c>
      <c r="K46">
        <v>73215.434666651388</v>
      </c>
      <c r="L46" s="3">
        <v>72343.508509189924</v>
      </c>
      <c r="M46">
        <f>M$43*Tabella33374052[[#This Row],[2031%]]</f>
        <v>71170.594904016325</v>
      </c>
      <c r="N46">
        <f>N$43*Tabella33374052[[#This Row],[2032%]]</f>
        <v>69997.681298842741</v>
      </c>
      <c r="O46">
        <f>O$43*Tabella33374052[[#This Row],[2033%]]</f>
        <v>68824.767693669142</v>
      </c>
      <c r="P46">
        <f>P$43*Tabella33374052[[#This Row],[2034%]]</f>
        <v>67651.854088495544</v>
      </c>
      <c r="Q46">
        <f>Q$43*Tabella33374052[[#This Row],[2035%]]</f>
        <v>66478.940483321945</v>
      </c>
      <c r="R46">
        <f>R$43*Tabella33374052[[#This Row],[2036%]]</f>
        <v>65306.026878148346</v>
      </c>
      <c r="S46">
        <f>S$43*Tabella33374052[[#This Row],[2037%]]</f>
        <v>64133.113272974748</v>
      </c>
      <c r="T46">
        <f>T$43*Tabella33374052[[#This Row],[2038%]]</f>
        <v>62960.199667801149</v>
      </c>
      <c r="U46">
        <f>U$43*Tabella33374052[[#This Row],[2039%]]</f>
        <v>61787.286062627551</v>
      </c>
      <c r="V46">
        <f>V$43*Tabella33374052[[#This Row],[2040%]]</f>
        <v>60614.372457453959</v>
      </c>
      <c r="W46">
        <f>W$43*Tabella33374052[[#This Row],[2041%]]</f>
        <v>60614.372457453959</v>
      </c>
      <c r="X46">
        <f>X$43*Tabella33374052[[#This Row],[2042%]]</f>
        <v>60614.372457453959</v>
      </c>
      <c r="Y46">
        <f>Y$43*Tabella33374052[[#This Row],[2043%]]</f>
        <v>60614.372457453959</v>
      </c>
      <c r="Z46">
        <f>Z$43*Tabella33374052[[#This Row],[2044%]]</f>
        <v>60614.372457453959</v>
      </c>
      <c r="AA46">
        <f>AA$43*Tabella33374052[[#This Row],[2045%]]</f>
        <v>60614.372457453959</v>
      </c>
      <c r="AB46">
        <v>0.4711211778029446</v>
      </c>
      <c r="AC46">
        <v>0.47437355674351389</v>
      </c>
      <c r="AD46">
        <v>0.47774416722597474</v>
      </c>
      <c r="AE46">
        <v>0.48123957558862551</v>
      </c>
      <c r="AF46">
        <v>0.48486684358252119</v>
      </c>
      <c r="AG46">
        <v>0.48863357599164592</v>
      </c>
      <c r="AH46">
        <v>0.49254797385357885</v>
      </c>
      <c r="AI46">
        <v>0.49661889406445581</v>
      </c>
      <c r="AJ46">
        <v>0.5008559162799493</v>
      </c>
      <c r="AK46">
        <v>0.50526941817589099</v>
      </c>
      <c r="AL46">
        <v>0.50987066031313821</v>
      </c>
      <c r="AM46">
        <v>0.50987066031313821</v>
      </c>
      <c r="AN46">
        <v>0.50987066031313821</v>
      </c>
      <c r="AO46">
        <v>0.50987066031313821</v>
      </c>
      <c r="AP46">
        <v>0.50987066031313821</v>
      </c>
      <c r="AQ46">
        <v>0.50987066031313821</v>
      </c>
      <c r="AR46">
        <v>0.50987066031313821</v>
      </c>
      <c r="AS46">
        <v>0.50987066031313821</v>
      </c>
      <c r="AT46">
        <v>0.50987066031313821</v>
      </c>
      <c r="AU46">
        <v>0.50987066031313821</v>
      </c>
      <c r="AV46">
        <v>0.50987066031313821</v>
      </c>
      <c r="AW46">
        <v>0.50987066031313821</v>
      </c>
      <c r="AX46">
        <v>0.50987066031313821</v>
      </c>
      <c r="AY46">
        <v>0.50987066031313821</v>
      </c>
      <c r="AZ46">
        <v>0.50987066031313821</v>
      </c>
      <c r="BA46">
        <v>0.50987066031313821</v>
      </c>
    </row>
    <row r="47" spans="1:80" x14ac:dyDescent="0.35">
      <c r="A47" t="s">
        <v>9</v>
      </c>
      <c r="B47" s="3">
        <v>60991.93999093998</v>
      </c>
      <c r="C47">
        <v>58282.942452022973</v>
      </c>
      <c r="D47">
        <v>55573.944913105966</v>
      </c>
      <c r="E47">
        <v>52864.94737418896</v>
      </c>
      <c r="F47">
        <v>50155.949835271953</v>
      </c>
      <c r="G47" s="3">
        <v>47446.952296354946</v>
      </c>
      <c r="H47">
        <v>44737.954757437939</v>
      </c>
      <c r="I47">
        <v>42028.957218520933</v>
      </c>
      <c r="J47">
        <v>39319.959679603926</v>
      </c>
      <c r="K47">
        <v>36610.962140686919</v>
      </c>
      <c r="L47" s="3">
        <v>33901.964601769912</v>
      </c>
      <c r="M47">
        <f>M$43*Tabella33374052[[#This Row],[2031%]]</f>
        <v>33352.308159292035</v>
      </c>
      <c r="N47">
        <f>N$43*Tabella33374052[[#This Row],[2032%]]</f>
        <v>32802.651716814151</v>
      </c>
      <c r="O47">
        <f>O$43*Tabella33374052[[#This Row],[2033%]]</f>
        <v>32252.99527433627</v>
      </c>
      <c r="P47">
        <f>P$43*Tabella33374052[[#This Row],[2034%]]</f>
        <v>31703.338831858389</v>
      </c>
      <c r="Q47">
        <f>Q$43*Tabella33374052[[#This Row],[2035%]]</f>
        <v>31153.682389380509</v>
      </c>
      <c r="R47">
        <f>R$43*Tabella33374052[[#This Row],[2036%]]</f>
        <v>30604.025946902628</v>
      </c>
      <c r="S47">
        <f>S$43*Tabella33374052[[#This Row],[2037%]]</f>
        <v>30054.369504424747</v>
      </c>
      <c r="T47">
        <f>T$43*Tabella33374052[[#This Row],[2038%]]</f>
        <v>29504.713061946866</v>
      </c>
      <c r="U47">
        <f>U$43*Tabella33374052[[#This Row],[2039%]]</f>
        <v>28955.056619468989</v>
      </c>
      <c r="V47">
        <f>V$43*Tabella33374052[[#This Row],[2040%]]</f>
        <v>28405.400176991108</v>
      </c>
      <c r="W47">
        <f>W$43*Tabella33374052[[#This Row],[2041%]]</f>
        <v>28405.400176991108</v>
      </c>
      <c r="X47">
        <f>X$43*Tabella33374052[[#This Row],[2042%]]</f>
        <v>28405.400176991108</v>
      </c>
      <c r="Y47">
        <f>Y$43*Tabella33374052[[#This Row],[2043%]]</f>
        <v>28405.400176991108</v>
      </c>
      <c r="Z47">
        <f>Z$43*Tabella33374052[[#This Row],[2044%]]</f>
        <v>28405.400176991108</v>
      </c>
      <c r="AA47">
        <f>AA$43*Tabella33374052[[#This Row],[2045%]]</f>
        <v>28405.400176991108</v>
      </c>
      <c r="AB47">
        <v>0.35447338618346547</v>
      </c>
      <c r="AC47">
        <v>0.3447761035391847</v>
      </c>
      <c r="AD47">
        <v>0.33472630210784304</v>
      </c>
      <c r="AE47">
        <v>0.32430440371617719</v>
      </c>
      <c r="AF47">
        <v>0.31348935306983305</v>
      </c>
      <c r="AG47">
        <v>0.30225847576921278</v>
      </c>
      <c r="AH47">
        <v>0.29058731962690665</v>
      </c>
      <c r="AI47">
        <v>0.27844947694973105</v>
      </c>
      <c r="AJ47">
        <v>0.26581638506697991</v>
      </c>
      <c r="AK47">
        <v>0.25265710193359292</v>
      </c>
      <c r="AL47">
        <v>0.23893805309734514</v>
      </c>
      <c r="AM47">
        <v>0.23893805309734514</v>
      </c>
      <c r="AN47">
        <v>0.23893805309734514</v>
      </c>
      <c r="AO47">
        <v>0.23893805309734514</v>
      </c>
      <c r="AP47">
        <v>0.23893805309734514</v>
      </c>
      <c r="AQ47">
        <v>0.23893805309734514</v>
      </c>
      <c r="AR47">
        <v>0.23893805309734514</v>
      </c>
      <c r="AS47">
        <v>0.23893805309734514</v>
      </c>
      <c r="AT47">
        <v>0.23893805309734514</v>
      </c>
      <c r="AU47">
        <v>0.23893805309734514</v>
      </c>
      <c r="AV47">
        <v>0.23893805309734514</v>
      </c>
      <c r="AW47">
        <v>0.23893805309734514</v>
      </c>
      <c r="AX47">
        <v>0.23893805309734514</v>
      </c>
      <c r="AY47">
        <v>0.23893805309734514</v>
      </c>
      <c r="AZ47">
        <v>0.23893805309734514</v>
      </c>
      <c r="BA47">
        <v>0.23893805309734514</v>
      </c>
    </row>
    <row r="48" spans="1:80" x14ac:dyDescent="0.35">
      <c r="A48" t="s">
        <v>10</v>
      </c>
      <c r="B48" s="3">
        <v>21824.59194563987</v>
      </c>
      <c r="C48">
        <v>21390.35371771986</v>
      </c>
      <c r="D48">
        <v>20956.115489799849</v>
      </c>
      <c r="E48">
        <v>20521.877261879839</v>
      </c>
      <c r="F48">
        <v>20087.639033959829</v>
      </c>
      <c r="G48" s="3">
        <v>19653.400806039819</v>
      </c>
      <c r="H48">
        <v>19219.162578119809</v>
      </c>
      <c r="I48">
        <v>18784.924350199799</v>
      </c>
      <c r="J48">
        <v>18350.686122279789</v>
      </c>
      <c r="K48">
        <v>17916.447894359779</v>
      </c>
      <c r="L48" s="3">
        <v>17482.209666439754</v>
      </c>
      <c r="M48">
        <f>M$43*Tabella33374052[[#This Row],[2031%]]</f>
        <v>17198.768594962556</v>
      </c>
      <c r="N48">
        <f>N$43*Tabella33374052[[#This Row],[2032%]]</f>
        <v>16915.327523485357</v>
      </c>
      <c r="O48">
        <f>O$43*Tabella33374052[[#This Row],[2033%]]</f>
        <v>16631.886452008162</v>
      </c>
      <c r="P48">
        <f>P$43*Tabella33374052[[#This Row],[2034%]]</f>
        <v>16348.445380530964</v>
      </c>
      <c r="Q48">
        <f>Q$43*Tabella33374052[[#This Row],[2035%]]</f>
        <v>16065.004309053766</v>
      </c>
      <c r="R48">
        <f>R$43*Tabella33374052[[#This Row],[2036%]]</f>
        <v>15781.563237576569</v>
      </c>
      <c r="S48">
        <f>S$43*Tabella33374052[[#This Row],[2037%]]</f>
        <v>15498.122166099371</v>
      </c>
      <c r="T48">
        <f>T$43*Tabella33374052[[#This Row],[2038%]]</f>
        <v>15214.681094622172</v>
      </c>
      <c r="U48">
        <f>U$43*Tabella33374052[[#This Row],[2039%]]</f>
        <v>14931.240023144976</v>
      </c>
      <c r="V48">
        <f>V$43*Tabella33374052[[#This Row],[2040%]]</f>
        <v>14647.798951667777</v>
      </c>
      <c r="W48">
        <f>W$43*Tabella33374052[[#This Row],[2041%]]</f>
        <v>14647.798951667777</v>
      </c>
      <c r="X48">
        <f>X$43*Tabella33374052[[#This Row],[2042%]]</f>
        <v>14647.798951667777</v>
      </c>
      <c r="Y48">
        <f>Y$43*Tabella33374052[[#This Row],[2043%]]</f>
        <v>14647.798951667777</v>
      </c>
      <c r="Z48">
        <f>Z$43*Tabella33374052[[#This Row],[2044%]]</f>
        <v>14647.798951667777</v>
      </c>
      <c r="AA48">
        <f>AA$43*Tabella33374052[[#This Row],[2045%]]</f>
        <v>14647.798951667777</v>
      </c>
      <c r="AB48">
        <v>0.12684031710079277</v>
      </c>
      <c r="AC48">
        <v>0.12653586963614924</v>
      </c>
      <c r="AD48">
        <v>0.12622035479779939</v>
      </c>
      <c r="AE48">
        <v>0.12589315792641742</v>
      </c>
      <c r="AF48">
        <v>0.1255536179882665</v>
      </c>
      <c r="AG48">
        <v>0.12520102311758763</v>
      </c>
      <c r="AH48">
        <v>0.12483460563473953</v>
      </c>
      <c r="AI48">
        <v>0.12445353646671978</v>
      </c>
      <c r="AJ48">
        <v>0.12405691888472314</v>
      </c>
      <c r="AK48">
        <v>0.12364378145917342</v>
      </c>
      <c r="AL48">
        <v>0.12321307011572498</v>
      </c>
      <c r="AM48">
        <v>0.12321307011572498</v>
      </c>
      <c r="AN48">
        <v>0.12321307011572498</v>
      </c>
      <c r="AO48">
        <v>0.12321307011572498</v>
      </c>
      <c r="AP48">
        <v>0.12321307011572498</v>
      </c>
      <c r="AQ48">
        <v>0.12321307011572498</v>
      </c>
      <c r="AR48">
        <v>0.12321307011572498</v>
      </c>
      <c r="AS48">
        <v>0.12321307011572498</v>
      </c>
      <c r="AT48">
        <v>0.12321307011572498</v>
      </c>
      <c r="AU48">
        <v>0.12321307011572498</v>
      </c>
      <c r="AV48">
        <v>0.12321307011572498</v>
      </c>
      <c r="AW48">
        <v>0.12321307011572498</v>
      </c>
      <c r="AX48">
        <v>0.12321307011572498</v>
      </c>
      <c r="AY48">
        <v>0.12321307011572498</v>
      </c>
      <c r="AZ48">
        <v>0.12321307011572498</v>
      </c>
      <c r="BA48">
        <v>0.12321307011572498</v>
      </c>
    </row>
    <row r="50" spans="1:53" x14ac:dyDescent="0.35">
      <c r="A50" s="3" t="s">
        <v>53</v>
      </c>
      <c r="B50">
        <v>342052.6</v>
      </c>
      <c r="C50">
        <v>342052.6</v>
      </c>
      <c r="D50">
        <v>342052.59999999974</v>
      </c>
      <c r="E50">
        <v>342052.59999999974</v>
      </c>
      <c r="F50">
        <v>342052.59999999974</v>
      </c>
      <c r="G50">
        <v>342052.59999999974</v>
      </c>
      <c r="H50">
        <v>342052.59999999974</v>
      </c>
      <c r="I50">
        <v>342052.59999999974</v>
      </c>
      <c r="J50">
        <v>342052.59999999974</v>
      </c>
      <c r="K50">
        <v>342052.59999999974</v>
      </c>
      <c r="L50">
        <v>342052.59999999974</v>
      </c>
      <c r="M50">
        <v>342052.59999999974</v>
      </c>
      <c r="N50">
        <v>342052.59999999974</v>
      </c>
      <c r="O50">
        <v>342052.59999999974</v>
      </c>
      <c r="P50">
        <v>342052.59999999974</v>
      </c>
      <c r="Q50">
        <v>342052.59999999974</v>
      </c>
      <c r="R50">
        <v>342052.59999999974</v>
      </c>
      <c r="S50">
        <v>342052.59999999974</v>
      </c>
      <c r="T50">
        <v>342052.59999999974</v>
      </c>
      <c r="U50">
        <v>342052.59999999974</v>
      </c>
      <c r="V50">
        <v>342052.59999999974</v>
      </c>
      <c r="W50">
        <v>342052.59999999974</v>
      </c>
      <c r="X50">
        <v>342052.59999999974</v>
      </c>
      <c r="Y50">
        <v>342052.59999999974</v>
      </c>
      <c r="Z50">
        <v>342052.59999999974</v>
      </c>
      <c r="AA50">
        <v>342052.59999999974</v>
      </c>
      <c r="AB50">
        <f>SUM(AB51:AB55)</f>
        <v>1</v>
      </c>
      <c r="AC50">
        <f t="shared" ref="AC50:BA50" si="12">SUM(AC51:AC55)</f>
        <v>1</v>
      </c>
      <c r="AD50">
        <f t="shared" si="12"/>
        <v>1</v>
      </c>
      <c r="AE50">
        <f t="shared" si="12"/>
        <v>1</v>
      </c>
      <c r="AF50">
        <f t="shared" si="12"/>
        <v>1</v>
      </c>
      <c r="AG50">
        <f t="shared" si="12"/>
        <v>1</v>
      </c>
      <c r="AH50">
        <f t="shared" si="12"/>
        <v>1</v>
      </c>
      <c r="AI50">
        <f t="shared" si="12"/>
        <v>1</v>
      </c>
      <c r="AJ50">
        <f t="shared" si="12"/>
        <v>1</v>
      </c>
      <c r="AK50">
        <f t="shared" si="12"/>
        <v>1</v>
      </c>
      <c r="AL50">
        <f t="shared" si="12"/>
        <v>1</v>
      </c>
      <c r="AM50">
        <f t="shared" si="12"/>
        <v>1</v>
      </c>
      <c r="AN50">
        <f t="shared" si="12"/>
        <v>1</v>
      </c>
      <c r="AO50">
        <f t="shared" si="12"/>
        <v>1</v>
      </c>
      <c r="AP50">
        <f t="shared" si="12"/>
        <v>1</v>
      </c>
      <c r="AQ50">
        <f t="shared" si="12"/>
        <v>1</v>
      </c>
      <c r="AR50">
        <f t="shared" si="12"/>
        <v>1</v>
      </c>
      <c r="AS50">
        <f t="shared" si="12"/>
        <v>1</v>
      </c>
      <c r="AT50">
        <f t="shared" si="12"/>
        <v>1</v>
      </c>
      <c r="AU50">
        <f t="shared" si="12"/>
        <v>1</v>
      </c>
      <c r="AV50">
        <f t="shared" si="12"/>
        <v>1</v>
      </c>
      <c r="AW50">
        <f t="shared" si="12"/>
        <v>1</v>
      </c>
      <c r="AX50">
        <f t="shared" si="12"/>
        <v>1</v>
      </c>
      <c r="AY50">
        <f t="shared" si="12"/>
        <v>1</v>
      </c>
      <c r="AZ50">
        <f t="shared" si="12"/>
        <v>1</v>
      </c>
      <c r="BA50">
        <f t="shared" si="12"/>
        <v>1</v>
      </c>
    </row>
    <row r="51" spans="1:53" x14ac:dyDescent="0.35">
      <c r="A51" s="40" t="s">
        <v>11</v>
      </c>
      <c r="B51">
        <f>B$50*Tabella33374052[[#This Row],[2020%]]</f>
        <v>5833.7017054984371</v>
      </c>
      <c r="C51">
        <f>C$50*Tabella33374052[[#This Row],[2021%]]</f>
        <v>5833.7017054984371</v>
      </c>
      <c r="D51">
        <f>D$50*Tabella33374052[[#This Row],[2022%]]</f>
        <v>5833.7017054984326</v>
      </c>
      <c r="E51">
        <f>E$50*Tabella33374052[[#This Row],[2023%]]</f>
        <v>5833.7017054984326</v>
      </c>
      <c r="F51">
        <f>F$50*Tabella33374052[[#This Row],[2024%]]</f>
        <v>5833.7017054984326</v>
      </c>
      <c r="G51">
        <f>G$50*Tabella33374052[[#This Row],[2025%]]</f>
        <v>5833.7017054984326</v>
      </c>
      <c r="H51">
        <f>H$50*Tabella33374052[[#This Row],[2026%]]</f>
        <v>5833.7017054984326</v>
      </c>
      <c r="I51">
        <f>I$50*Tabella33374052[[#This Row],[2027%]]</f>
        <v>5833.7017054984326</v>
      </c>
      <c r="J51">
        <f>J$50*Tabella33374052[[#This Row],[2028%]]</f>
        <v>5833.7017054984326</v>
      </c>
      <c r="K51">
        <f>K$50*Tabella33374052[[#This Row],[2029%]]</f>
        <v>5833.7017054984326</v>
      </c>
      <c r="L51">
        <f>L$50*Tabella33374052[[#This Row],[2030%]]</f>
        <v>5833.7017054984326</v>
      </c>
      <c r="M51">
        <f>M$50*Tabella33374052[[#This Row],[2031%]]</f>
        <v>5833.7017054984326</v>
      </c>
      <c r="N51">
        <f>N$50*Tabella33374052[[#This Row],[2032%]]</f>
        <v>5833.7017054984326</v>
      </c>
      <c r="O51">
        <f>O$50*Tabella33374052[[#This Row],[2033%]]</f>
        <v>5833.7017054984326</v>
      </c>
      <c r="P51">
        <f>P$50*Tabella33374052[[#This Row],[2034%]]</f>
        <v>5833.7017054984326</v>
      </c>
      <c r="Q51">
        <f>Q$50*Tabella33374052[[#This Row],[2035%]]</f>
        <v>5833.7017054984326</v>
      </c>
      <c r="R51">
        <f>R$50*Tabella33374052[[#This Row],[2036%]]</f>
        <v>5833.7017054984326</v>
      </c>
      <c r="S51">
        <f>S$50*Tabella33374052[[#This Row],[2037%]]</f>
        <v>5833.7017054984326</v>
      </c>
      <c r="T51">
        <f>T$50*Tabella33374052[[#This Row],[2038%]]</f>
        <v>5833.7017054984326</v>
      </c>
      <c r="U51">
        <f>U$50*Tabella33374052[[#This Row],[2039%]]</f>
        <v>5833.7017054984326</v>
      </c>
      <c r="V51">
        <f>V$50*Tabella33374052[[#This Row],[2040%]]</f>
        <v>5833.7017054984326</v>
      </c>
      <c r="W51">
        <f>W$50*Tabella33374052[[#This Row],[2041%]]</f>
        <v>5833.7017054984326</v>
      </c>
      <c r="X51">
        <f>X$50*Tabella33374052[[#This Row],[2042%]]</f>
        <v>5833.7017054984326</v>
      </c>
      <c r="Y51">
        <f>Y$50*Tabella33374052[[#This Row],[2043%]]</f>
        <v>5833.7017054984326</v>
      </c>
      <c r="Z51">
        <f>Z$50*Tabella33374052[[#This Row],[2044%]]</f>
        <v>5833.7017054984326</v>
      </c>
      <c r="AA51">
        <f>AA$50*Tabella33374052[[#This Row],[2045%]]</f>
        <v>5833.7017054984326</v>
      </c>
      <c r="AB51">
        <v>1.70549842494939E-2</v>
      </c>
      <c r="AC51">
        <v>1.70549842494939E-2</v>
      </c>
      <c r="AD51">
        <v>1.70549842494939E-2</v>
      </c>
      <c r="AE51">
        <v>1.70549842494939E-2</v>
      </c>
      <c r="AF51">
        <v>1.70549842494939E-2</v>
      </c>
      <c r="AG51">
        <v>1.70549842494939E-2</v>
      </c>
      <c r="AH51">
        <v>1.70549842494939E-2</v>
      </c>
      <c r="AI51">
        <v>1.70549842494939E-2</v>
      </c>
      <c r="AJ51">
        <v>1.70549842494939E-2</v>
      </c>
      <c r="AK51">
        <v>1.70549842494939E-2</v>
      </c>
      <c r="AL51">
        <v>1.70549842494939E-2</v>
      </c>
      <c r="AM51">
        <v>1.70549842494939E-2</v>
      </c>
      <c r="AN51">
        <v>1.70549842494939E-2</v>
      </c>
      <c r="AO51">
        <v>1.70549842494939E-2</v>
      </c>
      <c r="AP51">
        <v>1.70549842494939E-2</v>
      </c>
      <c r="AQ51">
        <v>1.70549842494939E-2</v>
      </c>
      <c r="AR51">
        <v>1.70549842494939E-2</v>
      </c>
      <c r="AS51">
        <v>1.70549842494939E-2</v>
      </c>
      <c r="AT51">
        <v>1.70549842494939E-2</v>
      </c>
      <c r="AU51">
        <v>1.70549842494939E-2</v>
      </c>
      <c r="AV51">
        <v>1.70549842494939E-2</v>
      </c>
      <c r="AW51">
        <v>1.70549842494939E-2</v>
      </c>
      <c r="AX51">
        <v>1.70549842494939E-2</v>
      </c>
      <c r="AY51">
        <v>1.70549842494939E-2</v>
      </c>
      <c r="AZ51">
        <v>1.70549842494939E-2</v>
      </c>
      <c r="BA51">
        <v>1.70549842494939E-2</v>
      </c>
    </row>
    <row r="52" spans="1:53" x14ac:dyDescent="0.35">
      <c r="A52" s="40" t="s">
        <v>13</v>
      </c>
      <c r="B52">
        <f>B$50*Tabella33374052[[#This Row],[2020%]]</f>
        <v>3336.5009754350572</v>
      </c>
      <c r="C52">
        <f>C$50*Tabella33374052[[#This Row],[2021%]]</f>
        <v>3336.5009754350572</v>
      </c>
      <c r="D52">
        <f>D$50*Tabella33374052[[#This Row],[2022%]]</f>
        <v>3336.5009754350549</v>
      </c>
      <c r="E52">
        <f>E$50*Tabella33374052[[#This Row],[2023%]]</f>
        <v>3336.5009754350549</v>
      </c>
      <c r="F52">
        <f>F$50*Tabella33374052[[#This Row],[2024%]]</f>
        <v>3336.5009754350549</v>
      </c>
      <c r="G52">
        <f>G$50*Tabella33374052[[#This Row],[2025%]]</f>
        <v>3336.5009754350549</v>
      </c>
      <c r="H52">
        <f>H$50*Tabella33374052[[#This Row],[2026%]]</f>
        <v>3336.5009754350549</v>
      </c>
      <c r="I52">
        <f>I$50*Tabella33374052[[#This Row],[2027%]]</f>
        <v>3336.5009754350549</v>
      </c>
      <c r="J52">
        <f>J$50*Tabella33374052[[#This Row],[2028%]]</f>
        <v>3336.5009754350549</v>
      </c>
      <c r="K52">
        <f>K$50*Tabella33374052[[#This Row],[2029%]]</f>
        <v>3336.5009754350549</v>
      </c>
      <c r="L52">
        <f>L$50*Tabella33374052[[#This Row],[2030%]]</f>
        <v>3336.5009754350549</v>
      </c>
      <c r="M52">
        <f>M$50*Tabella33374052[[#This Row],[2031%]]</f>
        <v>3336.5009754350549</v>
      </c>
      <c r="N52">
        <f>N$50*Tabella33374052[[#This Row],[2032%]]</f>
        <v>3336.5009754350549</v>
      </c>
      <c r="O52">
        <f>O$50*Tabella33374052[[#This Row],[2033%]]</f>
        <v>3336.5009754350549</v>
      </c>
      <c r="P52">
        <f>P$50*Tabella33374052[[#This Row],[2034%]]</f>
        <v>3336.5009754350549</v>
      </c>
      <c r="Q52">
        <f>Q$50*Tabella33374052[[#This Row],[2035%]]</f>
        <v>3336.5009754350549</v>
      </c>
      <c r="R52">
        <f>R$50*Tabella33374052[[#This Row],[2036%]]</f>
        <v>3336.5009754350549</v>
      </c>
      <c r="S52">
        <f>S$50*Tabella33374052[[#This Row],[2037%]]</f>
        <v>3336.5009754350549</v>
      </c>
      <c r="T52">
        <f>T$50*Tabella33374052[[#This Row],[2038%]]</f>
        <v>3336.5009754350549</v>
      </c>
      <c r="U52">
        <f>U$50*Tabella33374052[[#This Row],[2039%]]</f>
        <v>3336.5009754350549</v>
      </c>
      <c r="V52">
        <f>V$50*Tabella33374052[[#This Row],[2040%]]</f>
        <v>3336.5009754350549</v>
      </c>
      <c r="W52">
        <f>W$50*Tabella33374052[[#This Row],[2041%]]</f>
        <v>3336.5009754350549</v>
      </c>
      <c r="X52">
        <f>X$50*Tabella33374052[[#This Row],[2042%]]</f>
        <v>3336.5009754350549</v>
      </c>
      <c r="Y52">
        <f>Y$50*Tabella33374052[[#This Row],[2043%]]</f>
        <v>3336.5009754350549</v>
      </c>
      <c r="Z52">
        <f>Z$50*Tabella33374052[[#This Row],[2044%]]</f>
        <v>3336.5009754350549</v>
      </c>
      <c r="AA52">
        <f>AA$50*Tabella33374052[[#This Row],[2045%]]</f>
        <v>3336.5009754350549</v>
      </c>
      <c r="AB52">
        <v>9.7543505748386578E-3</v>
      </c>
      <c r="AC52">
        <v>9.7543505748386578E-3</v>
      </c>
      <c r="AD52">
        <v>9.7543505748386578E-3</v>
      </c>
      <c r="AE52">
        <v>9.7543505748386578E-3</v>
      </c>
      <c r="AF52">
        <v>9.7543505748386578E-3</v>
      </c>
      <c r="AG52">
        <v>9.7543505748386578E-3</v>
      </c>
      <c r="AH52">
        <v>9.7543505748386578E-3</v>
      </c>
      <c r="AI52">
        <v>9.7543505748386578E-3</v>
      </c>
      <c r="AJ52">
        <v>9.7543505748386578E-3</v>
      </c>
      <c r="AK52">
        <v>9.7543505748386578E-3</v>
      </c>
      <c r="AL52">
        <v>9.7543505748386578E-3</v>
      </c>
      <c r="AM52">
        <v>9.7543505748386578E-3</v>
      </c>
      <c r="AN52">
        <v>9.7543505748386578E-3</v>
      </c>
      <c r="AO52">
        <v>9.7543505748386578E-3</v>
      </c>
      <c r="AP52">
        <v>9.7543505748386578E-3</v>
      </c>
      <c r="AQ52">
        <v>9.7543505748386578E-3</v>
      </c>
      <c r="AR52">
        <v>9.7543505748386578E-3</v>
      </c>
      <c r="AS52">
        <v>9.7543505748386578E-3</v>
      </c>
      <c r="AT52">
        <v>9.7543505748386578E-3</v>
      </c>
      <c r="AU52">
        <v>9.7543505748386578E-3</v>
      </c>
      <c r="AV52">
        <v>9.7543505748386578E-3</v>
      </c>
      <c r="AW52">
        <v>9.7543505748386578E-3</v>
      </c>
      <c r="AX52">
        <v>9.7543505748386578E-3</v>
      </c>
      <c r="AY52">
        <v>9.7543505748386578E-3</v>
      </c>
      <c r="AZ52">
        <v>9.7543505748386578E-3</v>
      </c>
      <c r="BA52">
        <v>9.7543505748386578E-3</v>
      </c>
    </row>
    <row r="53" spans="1:53" x14ac:dyDescent="0.35">
      <c r="A53" s="40" t="s">
        <v>10</v>
      </c>
      <c r="B53">
        <f>B$50*Tabella33374052[[#This Row],[2020%]]</f>
        <v>327449.39573071379</v>
      </c>
      <c r="C53">
        <f>C$50*Tabella33374052[[#This Row],[2021%]]</f>
        <v>327449.39573071379</v>
      </c>
      <c r="D53">
        <f>D$50*Tabella33374052[[#This Row],[2022%]]</f>
        <v>327449.39573071356</v>
      </c>
      <c r="E53">
        <f>E$50*Tabella33374052[[#This Row],[2023%]]</f>
        <v>327449.39573071356</v>
      </c>
      <c r="F53">
        <f>F$50*Tabella33374052[[#This Row],[2024%]]</f>
        <v>327449.39573071356</v>
      </c>
      <c r="G53">
        <f>G$50*Tabella33374052[[#This Row],[2025%]]</f>
        <v>327449.39573071356</v>
      </c>
      <c r="H53">
        <f>H$50*Tabella33374052[[#This Row],[2026%]]</f>
        <v>327449.39573071356</v>
      </c>
      <c r="I53">
        <f>I$50*Tabella33374052[[#This Row],[2027%]]</f>
        <v>327449.39573071356</v>
      </c>
      <c r="J53">
        <f>J$50*Tabella33374052[[#This Row],[2028%]]</f>
        <v>327449.39573071356</v>
      </c>
      <c r="K53">
        <f>K$50*Tabella33374052[[#This Row],[2029%]]</f>
        <v>327449.39573071356</v>
      </c>
      <c r="L53">
        <f>L$50*Tabella33374052[[#This Row],[2030%]]</f>
        <v>327449.39573071356</v>
      </c>
      <c r="M53">
        <f>M$50*Tabella33374052[[#This Row],[2031%]]</f>
        <v>327449.39573071356</v>
      </c>
      <c r="N53">
        <f>N$50*Tabella33374052[[#This Row],[2032%]]</f>
        <v>327449.39573071356</v>
      </c>
      <c r="O53">
        <f>O$50*Tabella33374052[[#This Row],[2033%]]</f>
        <v>327449.39573071356</v>
      </c>
      <c r="P53">
        <f>P$50*Tabella33374052[[#This Row],[2034%]]</f>
        <v>327449.39573071356</v>
      </c>
      <c r="Q53">
        <f>Q$50*Tabella33374052[[#This Row],[2035%]]</f>
        <v>327449.39573071356</v>
      </c>
      <c r="R53">
        <f>R$50*Tabella33374052[[#This Row],[2036%]]</f>
        <v>327449.39573071356</v>
      </c>
      <c r="S53">
        <f>S$50*Tabella33374052[[#This Row],[2037%]]</f>
        <v>327449.39573071356</v>
      </c>
      <c r="T53">
        <f>T$50*Tabella33374052[[#This Row],[2038%]]</f>
        <v>327449.39573071356</v>
      </c>
      <c r="U53">
        <f>U$50*Tabella33374052[[#This Row],[2039%]]</f>
        <v>327449.39573071356</v>
      </c>
      <c r="V53">
        <f>V$50*Tabella33374052[[#This Row],[2040%]]</f>
        <v>327449.39573071356</v>
      </c>
      <c r="W53">
        <f>W$50*Tabella33374052[[#This Row],[2041%]]</f>
        <v>327449.39573071356</v>
      </c>
      <c r="X53">
        <f>X$50*Tabella33374052[[#This Row],[2042%]]</f>
        <v>327449.39573071356</v>
      </c>
      <c r="Y53">
        <f>Y$50*Tabella33374052[[#This Row],[2043%]]</f>
        <v>327449.39573071356</v>
      </c>
      <c r="Z53">
        <f>Z$50*Tabella33374052[[#This Row],[2044%]]</f>
        <v>327449.39573071356</v>
      </c>
      <c r="AA53">
        <f>AA$50*Tabella33374052[[#This Row],[2045%]]</f>
        <v>327449.39573071356</v>
      </c>
      <c r="AB53">
        <v>0.95730713852405691</v>
      </c>
      <c r="AC53">
        <v>0.95730713852405691</v>
      </c>
      <c r="AD53">
        <v>0.95730713852405691</v>
      </c>
      <c r="AE53">
        <v>0.95730713852405691</v>
      </c>
      <c r="AF53">
        <v>0.95730713852405691</v>
      </c>
      <c r="AG53">
        <v>0.95730713852405691</v>
      </c>
      <c r="AH53">
        <v>0.95730713852405691</v>
      </c>
      <c r="AI53">
        <v>0.95730713852405691</v>
      </c>
      <c r="AJ53">
        <v>0.95730713852405691</v>
      </c>
      <c r="AK53">
        <v>0.95730713852405691</v>
      </c>
      <c r="AL53">
        <v>0.95730713852405691</v>
      </c>
      <c r="AM53">
        <v>0.95730713852405691</v>
      </c>
      <c r="AN53">
        <v>0.95730713852405691</v>
      </c>
      <c r="AO53">
        <v>0.95730713852405691</v>
      </c>
      <c r="AP53">
        <v>0.95730713852405691</v>
      </c>
      <c r="AQ53">
        <v>0.95730713852405691</v>
      </c>
      <c r="AR53">
        <v>0.95730713852405691</v>
      </c>
      <c r="AS53">
        <v>0.95730713852405691</v>
      </c>
      <c r="AT53">
        <v>0.95730713852405691</v>
      </c>
      <c r="AU53">
        <v>0.95730713852405691</v>
      </c>
      <c r="AV53">
        <v>0.95730713852405691</v>
      </c>
      <c r="AW53">
        <v>0.95730713852405691</v>
      </c>
      <c r="AX53">
        <v>0.95730713852405691</v>
      </c>
      <c r="AY53">
        <v>0.95730713852405691</v>
      </c>
      <c r="AZ53">
        <v>0.95730713852405691</v>
      </c>
      <c r="BA53">
        <v>0.95730713852405691</v>
      </c>
    </row>
    <row r="54" spans="1:53" x14ac:dyDescent="0.35">
      <c r="A54" s="40" t="s">
        <v>14</v>
      </c>
      <c r="B54">
        <f>B$50*Tabella33374052[[#This Row],[2020%]]</f>
        <v>2333.200682117511</v>
      </c>
      <c r="C54">
        <f>C$50*Tabella33374052[[#This Row],[2021%]]</f>
        <v>2333.200682117511</v>
      </c>
      <c r="D54">
        <f>D$50*Tabella33374052[[#This Row],[2022%]]</f>
        <v>2333.2006821175091</v>
      </c>
      <c r="E54">
        <f>E$50*Tabella33374052[[#This Row],[2023%]]</f>
        <v>2333.2006821175091</v>
      </c>
      <c r="F54">
        <f>F$50*Tabella33374052[[#This Row],[2024%]]</f>
        <v>2333.2006821175091</v>
      </c>
      <c r="G54">
        <f>G$50*Tabella33374052[[#This Row],[2025%]]</f>
        <v>2333.2006821175091</v>
      </c>
      <c r="H54">
        <f>H$50*Tabella33374052[[#This Row],[2026%]]</f>
        <v>2333.2006821175091</v>
      </c>
      <c r="I54">
        <f>I$50*Tabella33374052[[#This Row],[2027%]]</f>
        <v>2333.2006821175091</v>
      </c>
      <c r="J54">
        <f>J$50*Tabella33374052[[#This Row],[2028%]]</f>
        <v>2333.2006821175091</v>
      </c>
      <c r="K54">
        <f>K$50*Tabella33374052[[#This Row],[2029%]]</f>
        <v>2333.2006821175091</v>
      </c>
      <c r="L54">
        <f>L$50*Tabella33374052[[#This Row],[2030%]]</f>
        <v>2333.2006821175091</v>
      </c>
      <c r="M54">
        <f>M$50*Tabella33374052[[#This Row],[2031%]]</f>
        <v>2333.2006821175091</v>
      </c>
      <c r="N54">
        <f>N$50*Tabella33374052[[#This Row],[2032%]]</f>
        <v>2333.2006821175091</v>
      </c>
      <c r="O54">
        <f>O$50*Tabella33374052[[#This Row],[2033%]]</f>
        <v>2333.2006821175091</v>
      </c>
      <c r="P54">
        <f>P$50*Tabella33374052[[#This Row],[2034%]]</f>
        <v>2333.2006821175091</v>
      </c>
      <c r="Q54">
        <f>Q$50*Tabella33374052[[#This Row],[2035%]]</f>
        <v>2333.2006821175091</v>
      </c>
      <c r="R54">
        <f>R$50*Tabella33374052[[#This Row],[2036%]]</f>
        <v>2333.2006821175091</v>
      </c>
      <c r="S54">
        <f>S$50*Tabella33374052[[#This Row],[2037%]]</f>
        <v>2333.2006821175091</v>
      </c>
      <c r="T54">
        <f>T$50*Tabella33374052[[#This Row],[2038%]]</f>
        <v>2333.2006821175091</v>
      </c>
      <c r="U54">
        <f>U$50*Tabella33374052[[#This Row],[2039%]]</f>
        <v>2333.2006821175091</v>
      </c>
      <c r="V54">
        <f>V$50*Tabella33374052[[#This Row],[2040%]]</f>
        <v>2333.2006821175091</v>
      </c>
      <c r="W54">
        <f>W$50*Tabella33374052[[#This Row],[2041%]]</f>
        <v>2333.2006821175091</v>
      </c>
      <c r="X54">
        <f>X$50*Tabella33374052[[#This Row],[2042%]]</f>
        <v>2333.2006821175091</v>
      </c>
      <c r="Y54">
        <f>Y$50*Tabella33374052[[#This Row],[2043%]]</f>
        <v>2333.2006821175091</v>
      </c>
      <c r="Z54">
        <f>Z$50*Tabella33374052[[#This Row],[2044%]]</f>
        <v>2333.2006821175091</v>
      </c>
      <c r="AA54">
        <f>AA$50*Tabella33374052[[#This Row],[2045%]]</f>
        <v>2333.2006821175091</v>
      </c>
      <c r="AB54">
        <v>6.8211751120076589E-3</v>
      </c>
      <c r="AC54">
        <v>6.8211751120076589E-3</v>
      </c>
      <c r="AD54">
        <v>6.8211751120076589E-3</v>
      </c>
      <c r="AE54">
        <v>6.8211751120076589E-3</v>
      </c>
      <c r="AF54">
        <v>6.8211751120076589E-3</v>
      </c>
      <c r="AG54">
        <v>6.8211751120076589E-3</v>
      </c>
      <c r="AH54">
        <v>6.8211751120076589E-3</v>
      </c>
      <c r="AI54">
        <v>6.8211751120076589E-3</v>
      </c>
      <c r="AJ54">
        <v>6.8211751120076589E-3</v>
      </c>
      <c r="AK54">
        <v>6.8211751120076589E-3</v>
      </c>
      <c r="AL54">
        <v>6.8211751120076589E-3</v>
      </c>
      <c r="AM54">
        <v>6.8211751120076589E-3</v>
      </c>
      <c r="AN54">
        <v>6.8211751120076589E-3</v>
      </c>
      <c r="AO54">
        <v>6.8211751120076589E-3</v>
      </c>
      <c r="AP54">
        <v>6.8211751120076589E-3</v>
      </c>
      <c r="AQ54">
        <v>6.8211751120076589E-3</v>
      </c>
      <c r="AR54">
        <v>6.8211751120076589E-3</v>
      </c>
      <c r="AS54">
        <v>6.8211751120076589E-3</v>
      </c>
      <c r="AT54">
        <v>6.8211751120076589E-3</v>
      </c>
      <c r="AU54">
        <v>6.8211751120076589E-3</v>
      </c>
      <c r="AV54">
        <v>6.8211751120076589E-3</v>
      </c>
      <c r="AW54">
        <v>6.8211751120076589E-3</v>
      </c>
      <c r="AX54">
        <v>6.8211751120076589E-3</v>
      </c>
      <c r="AY54">
        <v>6.8211751120076589E-3</v>
      </c>
      <c r="AZ54">
        <v>6.8211751120076589E-3</v>
      </c>
      <c r="BA54">
        <v>6.8211751120076589E-3</v>
      </c>
    </row>
    <row r="55" spans="1:53" x14ac:dyDescent="0.35">
      <c r="A55" s="40" t="s">
        <v>9</v>
      </c>
      <c r="B55">
        <f>B$50*Tabella33374052[[#This Row],[2020%]]</f>
        <v>3099.8009062351539</v>
      </c>
      <c r="C55">
        <f>C$50*Tabella33374052[[#This Row],[2021%]]</f>
        <v>3099.8009062351539</v>
      </c>
      <c r="D55">
        <f>D$50*Tabella33374052[[#This Row],[2022%]]</f>
        <v>3099.8009062351521</v>
      </c>
      <c r="E55">
        <f>E$50*Tabella33374052[[#This Row],[2023%]]</f>
        <v>3099.8009062351521</v>
      </c>
      <c r="F55">
        <f>F$50*Tabella33374052[[#This Row],[2024%]]</f>
        <v>3099.8009062351521</v>
      </c>
      <c r="G55">
        <f>G$50*Tabella33374052[[#This Row],[2025%]]</f>
        <v>3099.8009062351521</v>
      </c>
      <c r="H55">
        <f>H$50*Tabella33374052[[#This Row],[2026%]]</f>
        <v>3099.8009062351521</v>
      </c>
      <c r="I55">
        <f>I$50*Tabella33374052[[#This Row],[2027%]]</f>
        <v>3099.8009062351521</v>
      </c>
      <c r="J55">
        <f>J$50*Tabella33374052[[#This Row],[2028%]]</f>
        <v>3099.8009062351521</v>
      </c>
      <c r="K55">
        <f>K$50*Tabella33374052[[#This Row],[2029%]]</f>
        <v>3099.8009062351521</v>
      </c>
      <c r="L55">
        <f>L$50*Tabella33374052[[#This Row],[2030%]]</f>
        <v>3099.8009062351521</v>
      </c>
      <c r="M55">
        <f>M$50*Tabella33374052[[#This Row],[2031%]]</f>
        <v>3099.8009062351521</v>
      </c>
      <c r="N55">
        <f>N$50*Tabella33374052[[#This Row],[2032%]]</f>
        <v>3099.8009062351521</v>
      </c>
      <c r="O55">
        <f>O$50*Tabella33374052[[#This Row],[2033%]]</f>
        <v>3099.8009062351521</v>
      </c>
      <c r="P55">
        <f>P$50*Tabella33374052[[#This Row],[2034%]]</f>
        <v>3099.8009062351521</v>
      </c>
      <c r="Q55">
        <f>Q$50*Tabella33374052[[#This Row],[2035%]]</f>
        <v>3099.8009062351521</v>
      </c>
      <c r="R55">
        <f>R$50*Tabella33374052[[#This Row],[2036%]]</f>
        <v>3099.8009062351521</v>
      </c>
      <c r="S55">
        <f>S$50*Tabella33374052[[#This Row],[2037%]]</f>
        <v>3099.8009062351521</v>
      </c>
      <c r="T55">
        <f>T$50*Tabella33374052[[#This Row],[2038%]]</f>
        <v>3099.8009062351521</v>
      </c>
      <c r="U55">
        <f>U$50*Tabella33374052[[#This Row],[2039%]]</f>
        <v>3099.8009062351521</v>
      </c>
      <c r="V55">
        <f>V$50*Tabella33374052[[#This Row],[2040%]]</f>
        <v>3099.8009062351521</v>
      </c>
      <c r="W55">
        <f>W$50*Tabella33374052[[#This Row],[2041%]]</f>
        <v>3099.8009062351521</v>
      </c>
      <c r="X55">
        <f>X$50*Tabella33374052[[#This Row],[2042%]]</f>
        <v>3099.8009062351521</v>
      </c>
      <c r="Y55">
        <f>Y$50*Tabella33374052[[#This Row],[2043%]]</f>
        <v>3099.8009062351521</v>
      </c>
      <c r="Z55">
        <f>Z$50*Tabella33374052[[#This Row],[2044%]]</f>
        <v>3099.8009062351521</v>
      </c>
      <c r="AA55">
        <f>AA$50*Tabella33374052[[#This Row],[2045%]]</f>
        <v>3099.8009062351521</v>
      </c>
      <c r="AB55">
        <v>9.0623515396028396E-3</v>
      </c>
      <c r="AC55">
        <v>9.0623515396028396E-3</v>
      </c>
      <c r="AD55">
        <v>9.0623515396028396E-3</v>
      </c>
      <c r="AE55">
        <v>9.0623515396028396E-3</v>
      </c>
      <c r="AF55">
        <v>9.0623515396028396E-3</v>
      </c>
      <c r="AG55">
        <v>9.0623515396028396E-3</v>
      </c>
      <c r="AH55">
        <v>9.0623515396028396E-3</v>
      </c>
      <c r="AI55">
        <v>9.0623515396028396E-3</v>
      </c>
      <c r="AJ55">
        <v>9.0623515396028396E-3</v>
      </c>
      <c r="AK55">
        <v>9.0623515396028396E-3</v>
      </c>
      <c r="AL55">
        <v>9.0623515396028396E-3</v>
      </c>
      <c r="AM55">
        <v>9.0623515396028396E-3</v>
      </c>
      <c r="AN55">
        <v>9.0623515396028396E-3</v>
      </c>
      <c r="AO55">
        <v>9.0623515396028396E-3</v>
      </c>
      <c r="AP55">
        <v>9.0623515396028396E-3</v>
      </c>
      <c r="AQ55">
        <v>9.0623515396028396E-3</v>
      </c>
      <c r="AR55">
        <v>9.0623515396028396E-3</v>
      </c>
      <c r="AS55">
        <v>9.0623515396028396E-3</v>
      </c>
      <c r="AT55">
        <v>9.0623515396028396E-3</v>
      </c>
      <c r="AU55">
        <v>9.0623515396028396E-3</v>
      </c>
      <c r="AV55">
        <v>9.0623515396028396E-3</v>
      </c>
      <c r="AW55">
        <v>9.0623515396028396E-3</v>
      </c>
      <c r="AX55">
        <v>9.0623515396028396E-3</v>
      </c>
      <c r="AY55">
        <v>9.0623515396028396E-3</v>
      </c>
      <c r="AZ55">
        <v>9.0623515396028396E-3</v>
      </c>
      <c r="BA55">
        <v>9.0623515396028396E-3</v>
      </c>
    </row>
    <row r="57" spans="1:53" x14ac:dyDescent="0.35">
      <c r="A57" s="3" t="s">
        <v>32</v>
      </c>
      <c r="B57" s="3">
        <v>33322.276000000005</v>
      </c>
      <c r="C57">
        <v>33013.848400000003</v>
      </c>
      <c r="D57">
        <v>32705.420800000004</v>
      </c>
      <c r="E57">
        <v>32396.993200000004</v>
      </c>
      <c r="F57">
        <v>32088.565600000005</v>
      </c>
      <c r="G57" s="3">
        <v>31780.138000000006</v>
      </c>
      <c r="H57">
        <v>31471.710400000007</v>
      </c>
      <c r="I57">
        <v>31163.282800000008</v>
      </c>
      <c r="J57">
        <v>30854.855200000009</v>
      </c>
      <c r="K57">
        <v>30546.42760000001</v>
      </c>
      <c r="L57" s="3">
        <v>30238</v>
      </c>
      <c r="M57">
        <v>29929.572399999997</v>
      </c>
      <c r="N57">
        <v>29621.144799999995</v>
      </c>
      <c r="O57">
        <v>29312.717199999992</v>
      </c>
      <c r="P57">
        <v>29004.289599999989</v>
      </c>
      <c r="Q57">
        <v>28695.861999999986</v>
      </c>
      <c r="R57">
        <v>28387.434399999984</v>
      </c>
      <c r="S57">
        <v>28079.006799999981</v>
      </c>
      <c r="T57">
        <v>27770.579199999978</v>
      </c>
      <c r="U57">
        <v>27462.151599999976</v>
      </c>
      <c r="V57">
        <v>27153.723999999973</v>
      </c>
      <c r="W57">
        <v>27153.723999999973</v>
      </c>
      <c r="X57">
        <v>27153.723999999973</v>
      </c>
      <c r="Y57">
        <v>27153.723999999973</v>
      </c>
      <c r="Z57">
        <v>27153.723999999973</v>
      </c>
      <c r="AA57">
        <v>27153.723999999973</v>
      </c>
      <c r="AB57">
        <v>1</v>
      </c>
      <c r="AC57">
        <v>1</v>
      </c>
      <c r="AD57">
        <v>0.99999999999999978</v>
      </c>
      <c r="AE57">
        <v>0.99999999999999978</v>
      </c>
      <c r="AF57">
        <v>0.99999999999999978</v>
      </c>
      <c r="AG57">
        <v>0.99999999999999978</v>
      </c>
      <c r="AH57">
        <v>0.99999999999999967</v>
      </c>
      <c r="AI57">
        <v>0.99999999999999956</v>
      </c>
      <c r="AJ57">
        <v>0.99999999999999967</v>
      </c>
      <c r="AK57">
        <v>0.99999999999999956</v>
      </c>
      <c r="AL57">
        <v>0.99999999999999989</v>
      </c>
      <c r="AM57">
        <v>0.99999999999999989</v>
      </c>
      <c r="AN57">
        <v>0.99999999999999989</v>
      </c>
      <c r="AO57">
        <v>0.99999999999999989</v>
      </c>
      <c r="AP57">
        <v>0.99999999999999989</v>
      </c>
      <c r="AQ57">
        <v>0.99999999999999989</v>
      </c>
      <c r="AR57">
        <v>0.99999999999999989</v>
      </c>
      <c r="AS57">
        <v>0.99999999999999989</v>
      </c>
      <c r="AT57">
        <v>0.99999999999999989</v>
      </c>
      <c r="AU57">
        <v>0.99999999999999989</v>
      </c>
      <c r="AV57">
        <v>0.99999999999999989</v>
      </c>
      <c r="AW57">
        <v>0.99999999999999989</v>
      </c>
      <c r="AX57">
        <v>0.99999999999999989</v>
      </c>
      <c r="AY57">
        <v>0.99999999999999989</v>
      </c>
      <c r="AZ57">
        <v>0.99999999999999989</v>
      </c>
      <c r="BA57">
        <v>0.99999999999999989</v>
      </c>
    </row>
    <row r="58" spans="1:53" x14ac:dyDescent="0.35">
      <c r="A58" t="s">
        <v>29</v>
      </c>
      <c r="B58" s="3">
        <v>6310.4380000000001</v>
      </c>
      <c r="C58">
        <v>6252.0292272232309</v>
      </c>
      <c r="D58">
        <v>6193.6204544464617</v>
      </c>
      <c r="E58">
        <v>6135.2116816696926</v>
      </c>
      <c r="F58">
        <v>6076.8029088929234</v>
      </c>
      <c r="G58" s="3">
        <v>6018.3941361161542</v>
      </c>
      <c r="H58">
        <v>5959.985363339385</v>
      </c>
      <c r="I58">
        <v>5901.5765905626158</v>
      </c>
      <c r="J58">
        <v>5843.1678177858466</v>
      </c>
      <c r="K58">
        <v>5784.7590450090775</v>
      </c>
      <c r="L58" s="3">
        <v>5726.3502722323046</v>
      </c>
      <c r="M58">
        <f>M$57*Tabella33374052[[#This Row],[2031%]]</f>
        <v>5667.9414994555345</v>
      </c>
      <c r="N58">
        <f>N$57*Tabella33374052[[#This Row],[2032%]]</f>
        <v>5609.5327266787644</v>
      </c>
      <c r="O58">
        <f>O$57*Tabella33374052[[#This Row],[2033%]]</f>
        <v>5551.1239539019944</v>
      </c>
      <c r="P58">
        <f>P$57*Tabella33374052[[#This Row],[2034%]]</f>
        <v>5492.7151811252243</v>
      </c>
      <c r="Q58">
        <f>Q$57*Tabella33374052[[#This Row],[2035%]]</f>
        <v>5434.3064083484542</v>
      </c>
      <c r="R58">
        <f>R$57*Tabella33374052[[#This Row],[2036%]]</f>
        <v>5375.8976355716841</v>
      </c>
      <c r="S58">
        <f>S$57*Tabella33374052[[#This Row],[2037%]]</f>
        <v>5317.488862794914</v>
      </c>
      <c r="T58">
        <f>T$57*Tabella33374052[[#This Row],[2038%]]</f>
        <v>5259.0800900181439</v>
      </c>
      <c r="U58">
        <f>U$57*Tabella33374052[[#This Row],[2039%]]</f>
        <v>5200.6713172413747</v>
      </c>
      <c r="V58">
        <f>V$57*Tabella33374052[[#This Row],[2040%]]</f>
        <v>5142.2625444646046</v>
      </c>
      <c r="W58">
        <f>W$57*Tabella33374052[[#This Row],[2041%]]</f>
        <v>5142.2625444646046</v>
      </c>
      <c r="X58">
        <f>X$57*Tabella33374052[[#This Row],[2042%]]</f>
        <v>5142.2625444646046</v>
      </c>
      <c r="Y58">
        <f>Y$57*Tabella33374052[[#This Row],[2043%]]</f>
        <v>5142.2625444646046</v>
      </c>
      <c r="Z58">
        <f>Z$57*Tabella33374052[[#This Row],[2044%]]</f>
        <v>5142.2625444646046</v>
      </c>
      <c r="AA58">
        <f>AA$57*Tabella33374052[[#This Row],[2045%]]</f>
        <v>5142.2625444646046</v>
      </c>
      <c r="AB58">
        <v>0.18937595979338262</v>
      </c>
      <c r="AC58">
        <v>0.18937595979338265</v>
      </c>
      <c r="AD58">
        <v>0.18937595979338268</v>
      </c>
      <c r="AE58">
        <v>0.18937595979338268</v>
      </c>
      <c r="AF58">
        <v>0.18937595979338268</v>
      </c>
      <c r="AG58">
        <v>0.18937595979338268</v>
      </c>
      <c r="AH58">
        <v>0.18937595979338268</v>
      </c>
      <c r="AI58">
        <v>0.18937595979338268</v>
      </c>
      <c r="AJ58">
        <v>0.1893759597933827</v>
      </c>
      <c r="AK58">
        <v>0.1893759597933827</v>
      </c>
      <c r="AL58">
        <v>0.18937595979338265</v>
      </c>
      <c r="AM58">
        <v>0.18937595979338265</v>
      </c>
      <c r="AN58">
        <v>0.18937595979338265</v>
      </c>
      <c r="AO58">
        <v>0.18937595979338265</v>
      </c>
      <c r="AP58">
        <v>0.18937595979338265</v>
      </c>
      <c r="AQ58">
        <v>0.18937595979338265</v>
      </c>
      <c r="AR58">
        <v>0.18937595979338265</v>
      </c>
      <c r="AS58">
        <v>0.18937595979338265</v>
      </c>
      <c r="AT58">
        <v>0.18937595979338265</v>
      </c>
      <c r="AU58">
        <v>0.18937595979338265</v>
      </c>
      <c r="AV58">
        <v>0.18937595979338265</v>
      </c>
      <c r="AW58">
        <v>0.18937595979338265</v>
      </c>
      <c r="AX58">
        <v>0.18937595979338265</v>
      </c>
      <c r="AY58">
        <v>0.18937595979338265</v>
      </c>
      <c r="AZ58">
        <v>0.18937595979338265</v>
      </c>
      <c r="BA58">
        <v>0.18937595979338265</v>
      </c>
    </row>
    <row r="59" spans="1:53" x14ac:dyDescent="0.35">
      <c r="A59" t="s">
        <v>28</v>
      </c>
      <c r="B59" s="3">
        <v>1580.5169999999998</v>
      </c>
      <c r="C59">
        <v>1565.8878952813066</v>
      </c>
      <c r="D59">
        <v>1551.2587905626133</v>
      </c>
      <c r="E59">
        <v>1536.62968584392</v>
      </c>
      <c r="F59">
        <v>1522.0005811252267</v>
      </c>
      <c r="G59" s="3">
        <v>1507.3714764065335</v>
      </c>
      <c r="H59">
        <v>1492.7423716878402</v>
      </c>
      <c r="I59">
        <v>1478.1132669691469</v>
      </c>
      <c r="J59">
        <v>1463.4841622504537</v>
      </c>
      <c r="K59">
        <v>1448.8550575317604</v>
      </c>
      <c r="L59" s="3">
        <v>1434.2259528130671</v>
      </c>
      <c r="M59">
        <f>M$57*Tabella33374052[[#This Row],[2031%]]</f>
        <v>1419.5968480943736</v>
      </c>
      <c r="N59">
        <f>N$57*Tabella33374052[[#This Row],[2032%]]</f>
        <v>1404.9677433756801</v>
      </c>
      <c r="O59">
        <f>O$57*Tabella33374052[[#This Row],[2033%]]</f>
        <v>1390.3386386569869</v>
      </c>
      <c r="P59">
        <f>P$57*Tabella33374052[[#This Row],[2034%]]</f>
        <v>1375.7095339382934</v>
      </c>
      <c r="Q59">
        <f>Q$57*Tabella33374052[[#This Row],[2035%]]</f>
        <v>1361.0804292195999</v>
      </c>
      <c r="R59">
        <f>R$57*Tabella33374052[[#This Row],[2036%]]</f>
        <v>1346.4513245009066</v>
      </c>
      <c r="S59">
        <f>S$57*Tabella33374052[[#This Row],[2037%]]</f>
        <v>1331.8222197822131</v>
      </c>
      <c r="T59">
        <f>T$57*Tabella33374052[[#This Row],[2038%]]</f>
        <v>1317.1931150635198</v>
      </c>
      <c r="U59">
        <f>U$57*Tabella33374052[[#This Row],[2039%]]</f>
        <v>1302.5640103448263</v>
      </c>
      <c r="V59">
        <f>V$57*Tabella33374052[[#This Row],[2040%]]</f>
        <v>1287.9349056261328</v>
      </c>
      <c r="W59">
        <f>W$57*Tabella33374052[[#This Row],[2041%]]</f>
        <v>1287.9349056261328</v>
      </c>
      <c r="X59">
        <f>X$57*Tabella33374052[[#This Row],[2042%]]</f>
        <v>1287.9349056261328</v>
      </c>
      <c r="Y59">
        <f>Y$57*Tabella33374052[[#This Row],[2043%]]</f>
        <v>1287.9349056261328</v>
      </c>
      <c r="Z59">
        <f>Z$57*Tabella33374052[[#This Row],[2044%]]</f>
        <v>1287.9349056261328</v>
      </c>
      <c r="AA59">
        <f>AA$57*Tabella33374052[[#This Row],[2045%]]</f>
        <v>1287.9349056261328</v>
      </c>
      <c r="AB59">
        <v>4.7431243892223918E-2</v>
      </c>
      <c r="AC59">
        <v>4.7431243892223918E-2</v>
      </c>
      <c r="AD59">
        <v>4.7431243892223918E-2</v>
      </c>
      <c r="AE59">
        <v>4.7431243892223918E-2</v>
      </c>
      <c r="AF59">
        <v>4.7431243892223918E-2</v>
      </c>
      <c r="AG59">
        <v>4.7431243892223918E-2</v>
      </c>
      <c r="AH59">
        <v>4.7431243892223918E-2</v>
      </c>
      <c r="AI59">
        <v>4.7431243892223911E-2</v>
      </c>
      <c r="AJ59">
        <v>4.7431243892223911E-2</v>
      </c>
      <c r="AK59">
        <v>4.7431243892223911E-2</v>
      </c>
      <c r="AL59">
        <v>4.7431243892223925E-2</v>
      </c>
      <c r="AM59">
        <v>4.7431243892223925E-2</v>
      </c>
      <c r="AN59">
        <v>4.7431243892223925E-2</v>
      </c>
      <c r="AO59">
        <v>4.7431243892223925E-2</v>
      </c>
      <c r="AP59">
        <v>4.7431243892223925E-2</v>
      </c>
      <c r="AQ59">
        <v>4.7431243892223925E-2</v>
      </c>
      <c r="AR59">
        <v>4.7431243892223925E-2</v>
      </c>
      <c r="AS59">
        <v>4.7431243892223925E-2</v>
      </c>
      <c r="AT59">
        <v>4.7431243892223925E-2</v>
      </c>
      <c r="AU59">
        <v>4.7431243892223925E-2</v>
      </c>
      <c r="AV59">
        <v>4.7431243892223925E-2</v>
      </c>
      <c r="AW59">
        <v>4.7431243892223925E-2</v>
      </c>
      <c r="AX59">
        <v>4.7431243892223925E-2</v>
      </c>
      <c r="AY59">
        <v>4.7431243892223925E-2</v>
      </c>
      <c r="AZ59">
        <v>4.7431243892223925E-2</v>
      </c>
      <c r="BA59">
        <v>4.7431243892223925E-2</v>
      </c>
    </row>
    <row r="60" spans="1:53" x14ac:dyDescent="0.35">
      <c r="A60" t="s">
        <v>30</v>
      </c>
      <c r="B60" s="3">
        <v>25431.321</v>
      </c>
      <c r="C60">
        <v>25195.931277495463</v>
      </c>
      <c r="D60">
        <v>24960.541554990927</v>
      </c>
      <c r="E60">
        <v>24725.15183248639</v>
      </c>
      <c r="F60">
        <v>24489.762109981853</v>
      </c>
      <c r="G60" s="3">
        <v>24254.372387477317</v>
      </c>
      <c r="H60">
        <v>24018.98266497278</v>
      </c>
      <c r="I60">
        <v>23783.592942468244</v>
      </c>
      <c r="J60">
        <v>23548.203219963707</v>
      </c>
      <c r="K60">
        <v>23312.81349745917</v>
      </c>
      <c r="L60" s="3">
        <v>23077.42377495463</v>
      </c>
      <c r="M60">
        <f>M$57*Tabella33374052[[#This Row],[2031%]]</f>
        <v>22842.034052450093</v>
      </c>
      <c r="N60">
        <f>N$57*Tabella33374052[[#This Row],[2032%]]</f>
        <v>22606.644329945553</v>
      </c>
      <c r="O60">
        <f>O$57*Tabella33374052[[#This Row],[2033%]]</f>
        <v>22371.254607441013</v>
      </c>
      <c r="P60">
        <f>P$57*Tabella33374052[[#This Row],[2034%]]</f>
        <v>22135.864884936473</v>
      </c>
      <c r="Q60">
        <f>Q$57*Tabella33374052[[#This Row],[2035%]]</f>
        <v>21900.475162431936</v>
      </c>
      <c r="R60">
        <f>R$57*Tabella33374052[[#This Row],[2036%]]</f>
        <v>21665.085439927396</v>
      </c>
      <c r="S60">
        <f>S$57*Tabella33374052[[#This Row],[2037%]]</f>
        <v>21429.695717422856</v>
      </c>
      <c r="T60">
        <f>T$57*Tabella33374052[[#This Row],[2038%]]</f>
        <v>21194.305994918315</v>
      </c>
      <c r="U60">
        <f>U$57*Tabella33374052[[#This Row],[2039%]]</f>
        <v>20958.916272413779</v>
      </c>
      <c r="V60">
        <f>V$57*Tabella33374052[[#This Row],[2040%]]</f>
        <v>20723.526549909238</v>
      </c>
      <c r="W60">
        <f>W$57*Tabella33374052[[#This Row],[2041%]]</f>
        <v>20723.526549909238</v>
      </c>
      <c r="X60">
        <f>X$57*Tabella33374052[[#This Row],[2042%]]</f>
        <v>20723.526549909238</v>
      </c>
      <c r="Y60">
        <f>Y$57*Tabella33374052[[#This Row],[2043%]]</f>
        <v>20723.526549909238</v>
      </c>
      <c r="Z60">
        <f>Z$57*Tabella33374052[[#This Row],[2044%]]</f>
        <v>20723.526549909238</v>
      </c>
      <c r="AA60">
        <f>AA$57*Tabella33374052[[#This Row],[2045%]]</f>
        <v>20723.526549909238</v>
      </c>
      <c r="AB60">
        <v>0.7631927963143933</v>
      </c>
      <c r="AC60">
        <v>0.76319279631439341</v>
      </c>
      <c r="AD60">
        <v>0.76319279631439341</v>
      </c>
      <c r="AE60">
        <v>0.76319279631439341</v>
      </c>
      <c r="AF60">
        <v>0.76319279631439341</v>
      </c>
      <c r="AG60">
        <v>0.7631927963143933</v>
      </c>
      <c r="AH60">
        <v>0.7631927963143933</v>
      </c>
      <c r="AI60">
        <v>0.7631927963143933</v>
      </c>
      <c r="AJ60">
        <v>0.7631927963143933</v>
      </c>
      <c r="AK60">
        <v>0.7631927963143933</v>
      </c>
      <c r="AL60">
        <v>0.76319279631439352</v>
      </c>
      <c r="AM60">
        <v>0.76319279631439352</v>
      </c>
      <c r="AN60">
        <v>0.76319279631439352</v>
      </c>
      <c r="AO60">
        <v>0.76319279631439352</v>
      </c>
      <c r="AP60">
        <v>0.76319279631439352</v>
      </c>
      <c r="AQ60">
        <v>0.76319279631439352</v>
      </c>
      <c r="AR60">
        <v>0.76319279631439352</v>
      </c>
      <c r="AS60">
        <v>0.76319279631439352</v>
      </c>
      <c r="AT60">
        <v>0.76319279631439352</v>
      </c>
      <c r="AU60">
        <v>0.76319279631439352</v>
      </c>
      <c r="AV60">
        <v>0.76319279631439352</v>
      </c>
      <c r="AW60">
        <v>0.76319279631439352</v>
      </c>
      <c r="AX60">
        <v>0.76319279631439352</v>
      </c>
      <c r="AY60">
        <v>0.76319279631439352</v>
      </c>
      <c r="AZ60">
        <v>0.76319279631439352</v>
      </c>
      <c r="BA60">
        <v>0.76319279631439352</v>
      </c>
    </row>
    <row r="63" spans="1:53" x14ac:dyDescent="0.35">
      <c r="A63" t="s">
        <v>52</v>
      </c>
      <c r="B63" t="s">
        <v>16</v>
      </c>
      <c r="C63" t="s">
        <v>17</v>
      </c>
      <c r="D63" t="s">
        <v>18</v>
      </c>
      <c r="E63" t="s">
        <v>19</v>
      </c>
      <c r="F63" t="s">
        <v>20</v>
      </c>
      <c r="G63" t="s">
        <v>21</v>
      </c>
      <c r="H63" t="s">
        <v>22</v>
      </c>
      <c r="I63" t="s">
        <v>23</v>
      </c>
      <c r="J63" t="s">
        <v>24</v>
      </c>
      <c r="K63" t="s">
        <v>25</v>
      </c>
      <c r="L63" t="s">
        <v>26</v>
      </c>
      <c r="M63" t="s">
        <v>37</v>
      </c>
      <c r="N63" t="s">
        <v>54</v>
      </c>
      <c r="O63" t="s">
        <v>55</v>
      </c>
      <c r="P63" t="s">
        <v>56</v>
      </c>
      <c r="Q63" t="s">
        <v>57</v>
      </c>
      <c r="R63" t="s">
        <v>58</v>
      </c>
      <c r="S63" t="s">
        <v>59</v>
      </c>
      <c r="T63" t="s">
        <v>60</v>
      </c>
      <c r="U63" t="s">
        <v>61</v>
      </c>
      <c r="V63" t="s">
        <v>62</v>
      </c>
      <c r="W63" t="s">
        <v>85</v>
      </c>
      <c r="X63" t="s">
        <v>86</v>
      </c>
      <c r="Y63" t="s">
        <v>87</v>
      </c>
      <c r="Z63" t="s">
        <v>88</v>
      </c>
      <c r="AA63" t="s">
        <v>89</v>
      </c>
    </row>
    <row r="64" spans="1:53" x14ac:dyDescent="0.35">
      <c r="A64" t="s">
        <v>53</v>
      </c>
      <c r="B64">
        <v>342052.6</v>
      </c>
      <c r="C64">
        <v>342052.6</v>
      </c>
      <c r="D64">
        <v>342052.59999999974</v>
      </c>
      <c r="E64">
        <v>342052.59999999974</v>
      </c>
      <c r="F64">
        <v>342052.59999999974</v>
      </c>
      <c r="G64">
        <v>342052.59999999974</v>
      </c>
      <c r="H64">
        <v>342052.59999999974</v>
      </c>
      <c r="I64">
        <v>342052.59999999974</v>
      </c>
      <c r="J64">
        <v>342052.59999999974</v>
      </c>
      <c r="K64">
        <v>342052.59999999974</v>
      </c>
      <c r="L64">
        <v>342052.59999999974</v>
      </c>
      <c r="M64">
        <v>342052.59999999974</v>
      </c>
      <c r="N64">
        <v>342052.59999999974</v>
      </c>
      <c r="O64">
        <v>342052.59999999974</v>
      </c>
      <c r="P64">
        <v>342052.59999999974</v>
      </c>
      <c r="Q64">
        <v>342052.59999999974</v>
      </c>
      <c r="R64">
        <v>342052.59999999974</v>
      </c>
      <c r="S64">
        <v>342052.59999999974</v>
      </c>
      <c r="T64">
        <v>342052.59999999974</v>
      </c>
      <c r="U64">
        <v>342052.59999999974</v>
      </c>
      <c r="V64">
        <v>342052.59999999974</v>
      </c>
      <c r="W64">
        <v>342052.59999999974</v>
      </c>
      <c r="X64">
        <v>342052.59999999974</v>
      </c>
      <c r="Y64">
        <v>342052.59999999974</v>
      </c>
      <c r="Z64">
        <v>342052.59999999974</v>
      </c>
      <c r="AA64">
        <v>342052.59999999974</v>
      </c>
    </row>
    <row r="65" spans="1:27" x14ac:dyDescent="0.35">
      <c r="A65" t="s">
        <v>32</v>
      </c>
      <c r="B65">
        <v>33322.276000000005</v>
      </c>
      <c r="C65">
        <v>33013.848400000003</v>
      </c>
      <c r="D65">
        <v>32705.420800000004</v>
      </c>
      <c r="E65">
        <v>32396.993200000004</v>
      </c>
      <c r="F65">
        <v>32088.565600000005</v>
      </c>
      <c r="G65">
        <v>31780.138000000006</v>
      </c>
      <c r="H65">
        <v>31471.710400000007</v>
      </c>
      <c r="I65">
        <v>31163.282800000008</v>
      </c>
      <c r="J65">
        <v>30854.855200000009</v>
      </c>
      <c r="K65">
        <v>30546.42760000001</v>
      </c>
      <c r="L65">
        <v>30238</v>
      </c>
      <c r="M65">
        <v>29929.572399999997</v>
      </c>
      <c r="N65">
        <v>29621.144799999995</v>
      </c>
      <c r="O65">
        <v>29312.717199999992</v>
      </c>
      <c r="P65">
        <v>29004.289599999989</v>
      </c>
      <c r="Q65">
        <v>28695.861999999986</v>
      </c>
      <c r="R65">
        <v>28387.434399999984</v>
      </c>
      <c r="S65">
        <v>28079.006799999981</v>
      </c>
      <c r="T65">
        <v>27770.579199999978</v>
      </c>
      <c r="U65">
        <v>27462.151599999976</v>
      </c>
      <c r="V65">
        <v>27153.723999999973</v>
      </c>
      <c r="W65">
        <v>27153.723999999973</v>
      </c>
      <c r="X65">
        <v>27153.723999999973</v>
      </c>
      <c r="Y65">
        <v>27153.723999999973</v>
      </c>
      <c r="Z65">
        <v>27153.723999999973</v>
      </c>
      <c r="AA65">
        <v>27153.723999999973</v>
      </c>
    </row>
    <row r="66" spans="1:27" x14ac:dyDescent="0.35">
      <c r="A66" t="s">
        <v>6</v>
      </c>
      <c r="B66">
        <v>374951.2</v>
      </c>
      <c r="C66">
        <v>381836.16000000003</v>
      </c>
      <c r="D66">
        <v>388721.12000000005</v>
      </c>
      <c r="E66">
        <v>395606.08000000007</v>
      </c>
      <c r="F66">
        <v>402491.0400000001</v>
      </c>
      <c r="G66">
        <v>409376.00000000006</v>
      </c>
      <c r="H66">
        <v>402886.46</v>
      </c>
      <c r="I66">
        <v>396396.92</v>
      </c>
      <c r="J66">
        <v>389907.37999999995</v>
      </c>
      <c r="K66">
        <v>383417.83999999991</v>
      </c>
      <c r="L66">
        <v>376928.3</v>
      </c>
      <c r="M66">
        <v>370438.75999999995</v>
      </c>
      <c r="N66">
        <v>363949.21999999991</v>
      </c>
      <c r="O66">
        <v>357459.67999999988</v>
      </c>
      <c r="P66">
        <v>350970.13999999984</v>
      </c>
      <c r="Q66">
        <v>344480.5999999998</v>
      </c>
      <c r="R66">
        <v>337991.05999999976</v>
      </c>
      <c r="S66">
        <v>331501.51999999973</v>
      </c>
      <c r="T66">
        <v>325011.97999999969</v>
      </c>
      <c r="U66">
        <v>318522.43999999965</v>
      </c>
      <c r="V66">
        <v>312032.89999999962</v>
      </c>
      <c r="W66">
        <v>312032.89999999962</v>
      </c>
      <c r="X66">
        <v>312032.89999999962</v>
      </c>
      <c r="Y66">
        <v>312032.89999999962</v>
      </c>
      <c r="Z66">
        <v>312032.89999999962</v>
      </c>
      <c r="AA66">
        <v>312032.89999999962</v>
      </c>
    </row>
    <row r="67" spans="1:27" x14ac:dyDescent="0.35">
      <c r="A67" t="s">
        <v>5</v>
      </c>
      <c r="B67">
        <v>287493.59999999998</v>
      </c>
      <c r="C67">
        <v>287447.07999999996</v>
      </c>
      <c r="D67">
        <v>287400.55999999994</v>
      </c>
      <c r="E67">
        <v>287354.03999999992</v>
      </c>
      <c r="F67">
        <v>287307.5199999999</v>
      </c>
      <c r="G67">
        <v>287261</v>
      </c>
      <c r="H67">
        <v>284772.18</v>
      </c>
      <c r="I67">
        <v>282283.36</v>
      </c>
      <c r="J67">
        <v>279794.53999999998</v>
      </c>
      <c r="K67">
        <v>277305.71999999997</v>
      </c>
      <c r="L67">
        <v>274816.89999999997</v>
      </c>
      <c r="M67">
        <v>272328.07999999996</v>
      </c>
      <c r="N67">
        <v>269839.25999999995</v>
      </c>
      <c r="O67">
        <v>267350.43999999994</v>
      </c>
      <c r="P67">
        <v>264861.61999999994</v>
      </c>
      <c r="Q67">
        <v>262372.79999999993</v>
      </c>
      <c r="R67">
        <v>259883.97999999992</v>
      </c>
      <c r="S67">
        <v>257395.15999999992</v>
      </c>
      <c r="T67">
        <v>254906.33999999991</v>
      </c>
      <c r="U67">
        <v>252417.5199999999</v>
      </c>
      <c r="V67">
        <v>249928.6999999999</v>
      </c>
      <c r="W67">
        <v>249928.6999999999</v>
      </c>
      <c r="X67">
        <v>249928.6999999999</v>
      </c>
      <c r="Y67">
        <v>249928.6999999999</v>
      </c>
      <c r="Z67">
        <v>249928.6999999999</v>
      </c>
      <c r="AA67">
        <v>249928.6999999999</v>
      </c>
    </row>
    <row r="68" spans="1:27" x14ac:dyDescent="0.35">
      <c r="A68" t="s">
        <v>4</v>
      </c>
      <c r="B68">
        <v>355878</v>
      </c>
      <c r="C68">
        <v>350156.04</v>
      </c>
      <c r="D68">
        <v>344434.07999999996</v>
      </c>
      <c r="E68">
        <v>338712.11999999994</v>
      </c>
      <c r="F68">
        <v>332990.15999999992</v>
      </c>
      <c r="G68">
        <v>327268.2</v>
      </c>
      <c r="H68">
        <v>319662.18</v>
      </c>
      <c r="I68">
        <v>312056.15999999997</v>
      </c>
      <c r="J68">
        <v>304450.13999999996</v>
      </c>
      <c r="K68">
        <v>296844.11999999994</v>
      </c>
      <c r="L68">
        <v>289238.10000000003</v>
      </c>
      <c r="M68">
        <v>281632.08</v>
      </c>
      <c r="N68">
        <v>274026.06</v>
      </c>
      <c r="O68">
        <v>266420.03999999998</v>
      </c>
      <c r="P68">
        <v>258814.02</v>
      </c>
      <c r="Q68">
        <v>251208</v>
      </c>
      <c r="R68">
        <v>243601.98</v>
      </c>
      <c r="S68">
        <v>235995.96000000002</v>
      </c>
      <c r="T68">
        <v>228389.94000000003</v>
      </c>
      <c r="U68">
        <v>220783.92000000004</v>
      </c>
      <c r="V68">
        <v>213177.90000000005</v>
      </c>
      <c r="W68">
        <v>213177.90000000005</v>
      </c>
      <c r="X68">
        <v>213177.90000000005</v>
      </c>
      <c r="Y68">
        <v>213177.90000000005</v>
      </c>
      <c r="Z68">
        <v>213177.90000000005</v>
      </c>
      <c r="AA68">
        <v>213177.90000000005</v>
      </c>
    </row>
    <row r="69" spans="1:27" x14ac:dyDescent="0.35">
      <c r="A69" t="s">
        <v>31</v>
      </c>
      <c r="B69">
        <v>172063.524</v>
      </c>
      <c r="C69">
        <v>169045.77160000001</v>
      </c>
      <c r="D69">
        <v>166028.01920000001</v>
      </c>
      <c r="E69">
        <v>163010.26680000001</v>
      </c>
      <c r="F69">
        <v>159992.51440000001</v>
      </c>
      <c r="G69">
        <v>156974.76200000002</v>
      </c>
      <c r="H69">
        <v>153957.00960000002</v>
      </c>
      <c r="I69">
        <v>150939.25720000002</v>
      </c>
      <c r="J69">
        <v>147921.50480000002</v>
      </c>
      <c r="K69">
        <v>144903.75240000003</v>
      </c>
      <c r="L69">
        <v>141886</v>
      </c>
      <c r="M69">
        <v>139585.58599999998</v>
      </c>
      <c r="N69">
        <v>137285.17199999996</v>
      </c>
      <c r="O69">
        <v>134984.75799999994</v>
      </c>
      <c r="P69">
        <v>132684.34399999992</v>
      </c>
      <c r="Q69">
        <v>130383.92999999991</v>
      </c>
      <c r="R69">
        <v>128083.51599999989</v>
      </c>
      <c r="S69">
        <v>125783.10199999987</v>
      </c>
      <c r="T69">
        <v>123482.68799999985</v>
      </c>
      <c r="U69">
        <v>121182.27399999983</v>
      </c>
      <c r="V69">
        <v>118881.85999999981</v>
      </c>
      <c r="W69">
        <v>118881.85999999981</v>
      </c>
      <c r="X69">
        <v>118881.85999999981</v>
      </c>
      <c r="Y69">
        <v>118881.85999999981</v>
      </c>
      <c r="Z69">
        <v>118881.85999999981</v>
      </c>
      <c r="AA69">
        <v>118881.85999999981</v>
      </c>
    </row>
    <row r="71" spans="1:27" x14ac:dyDescent="0.35">
      <c r="A71" s="39" t="s">
        <v>63</v>
      </c>
      <c r="B71" t="s">
        <v>53</v>
      </c>
      <c r="C71" t="s">
        <v>32</v>
      </c>
      <c r="D71" t="s">
        <v>6</v>
      </c>
      <c r="E71" t="s">
        <v>5</v>
      </c>
      <c r="F71" t="s">
        <v>4</v>
      </c>
      <c r="G71" t="s">
        <v>31</v>
      </c>
    </row>
    <row r="72" spans="1:27" x14ac:dyDescent="0.35">
      <c r="A72">
        <v>2020</v>
      </c>
      <c r="B72">
        <v>342052.6</v>
      </c>
      <c r="C72">
        <v>33322.276000000005</v>
      </c>
      <c r="D72">
        <v>374951.2</v>
      </c>
      <c r="E72">
        <v>287493.59999999998</v>
      </c>
      <c r="F72">
        <v>355878</v>
      </c>
      <c r="G72">
        <v>172063.524</v>
      </c>
    </row>
    <row r="73" spans="1:27" x14ac:dyDescent="0.35">
      <c r="A73">
        <v>2021</v>
      </c>
      <c r="B73">
        <v>342052.6</v>
      </c>
      <c r="C73">
        <v>33013.848400000003</v>
      </c>
      <c r="D73">
        <v>381836.16000000003</v>
      </c>
      <c r="E73">
        <v>287447.07999999996</v>
      </c>
      <c r="F73">
        <v>350156.04</v>
      </c>
      <c r="G73">
        <v>169045.77160000001</v>
      </c>
    </row>
    <row r="74" spans="1:27" x14ac:dyDescent="0.35">
      <c r="A74">
        <v>2022</v>
      </c>
      <c r="B74">
        <v>342052.59999999974</v>
      </c>
      <c r="C74">
        <v>32705.420800000004</v>
      </c>
      <c r="D74">
        <v>388721.12000000005</v>
      </c>
      <c r="E74">
        <v>287400.55999999994</v>
      </c>
      <c r="F74">
        <v>344434.07999999996</v>
      </c>
      <c r="G74">
        <v>166028.01920000001</v>
      </c>
    </row>
    <row r="75" spans="1:27" x14ac:dyDescent="0.35">
      <c r="A75">
        <v>2023</v>
      </c>
      <c r="B75">
        <v>342052.59999999974</v>
      </c>
      <c r="C75">
        <v>32396.993200000004</v>
      </c>
      <c r="D75">
        <v>395606.08000000007</v>
      </c>
      <c r="E75">
        <v>287354.03999999992</v>
      </c>
      <c r="F75">
        <v>338712.11999999994</v>
      </c>
      <c r="G75">
        <v>163010.26680000001</v>
      </c>
    </row>
    <row r="76" spans="1:27" x14ac:dyDescent="0.35">
      <c r="A76">
        <v>2024</v>
      </c>
      <c r="B76">
        <v>342052.59999999974</v>
      </c>
      <c r="C76">
        <v>32088.565600000005</v>
      </c>
      <c r="D76">
        <v>402491.0400000001</v>
      </c>
      <c r="E76">
        <v>287307.5199999999</v>
      </c>
      <c r="F76">
        <v>332990.15999999992</v>
      </c>
      <c r="G76">
        <v>159992.51440000001</v>
      </c>
    </row>
    <row r="77" spans="1:27" x14ac:dyDescent="0.35">
      <c r="A77">
        <v>2025</v>
      </c>
      <c r="B77">
        <v>342052.59999999974</v>
      </c>
      <c r="C77">
        <v>31780.138000000006</v>
      </c>
      <c r="D77">
        <v>409376.00000000006</v>
      </c>
      <c r="E77">
        <v>287261</v>
      </c>
      <c r="F77">
        <v>327268.2</v>
      </c>
      <c r="G77">
        <v>156974.76200000002</v>
      </c>
    </row>
    <row r="78" spans="1:27" x14ac:dyDescent="0.35">
      <c r="A78">
        <v>2026</v>
      </c>
      <c r="B78">
        <v>342052.59999999974</v>
      </c>
      <c r="C78">
        <v>31471.710400000007</v>
      </c>
      <c r="D78">
        <v>402886.46</v>
      </c>
      <c r="E78">
        <v>284772.18</v>
      </c>
      <c r="F78">
        <v>319662.18</v>
      </c>
      <c r="G78">
        <v>153957.00960000002</v>
      </c>
    </row>
    <row r="79" spans="1:27" x14ac:dyDescent="0.35">
      <c r="A79">
        <v>2027</v>
      </c>
      <c r="B79">
        <v>342052.59999999974</v>
      </c>
      <c r="C79">
        <v>31163.282800000008</v>
      </c>
      <c r="D79">
        <v>396396.92</v>
      </c>
      <c r="E79">
        <v>282283.36</v>
      </c>
      <c r="F79">
        <v>312056.15999999997</v>
      </c>
      <c r="G79">
        <v>150939.25720000002</v>
      </c>
    </row>
    <row r="80" spans="1:27" x14ac:dyDescent="0.35">
      <c r="A80">
        <v>2028</v>
      </c>
      <c r="B80">
        <v>342052.59999999974</v>
      </c>
      <c r="C80">
        <v>30854.855200000009</v>
      </c>
      <c r="D80">
        <v>389907.37999999995</v>
      </c>
      <c r="E80">
        <v>279794.53999999998</v>
      </c>
      <c r="F80">
        <v>304450.13999999996</v>
      </c>
      <c r="G80">
        <v>147921.50480000002</v>
      </c>
    </row>
    <row r="81" spans="1:7" x14ac:dyDescent="0.35">
      <c r="A81">
        <v>2029</v>
      </c>
      <c r="B81">
        <v>342052.59999999974</v>
      </c>
      <c r="C81">
        <v>30546.42760000001</v>
      </c>
      <c r="D81">
        <v>383417.83999999991</v>
      </c>
      <c r="E81">
        <v>277305.71999999997</v>
      </c>
      <c r="F81">
        <v>296844.11999999994</v>
      </c>
      <c r="G81">
        <v>144903.75240000003</v>
      </c>
    </row>
    <row r="82" spans="1:7" x14ac:dyDescent="0.35">
      <c r="A82">
        <v>2030</v>
      </c>
      <c r="B82">
        <v>342052.59999999974</v>
      </c>
      <c r="C82">
        <v>30238</v>
      </c>
      <c r="D82">
        <v>376928.3</v>
      </c>
      <c r="E82">
        <v>274816.89999999997</v>
      </c>
      <c r="F82">
        <v>289238.10000000003</v>
      </c>
      <c r="G82">
        <v>141886</v>
      </c>
    </row>
    <row r="83" spans="1:7" x14ac:dyDescent="0.35">
      <c r="A83">
        <v>2031</v>
      </c>
      <c r="B83">
        <v>342052.59999999974</v>
      </c>
      <c r="C83">
        <v>29929.572399999997</v>
      </c>
      <c r="D83">
        <v>370438.75999999995</v>
      </c>
      <c r="E83">
        <v>272328.07999999996</v>
      </c>
      <c r="F83">
        <v>281632.08</v>
      </c>
      <c r="G83">
        <v>139585.58599999998</v>
      </c>
    </row>
    <row r="84" spans="1:7" x14ac:dyDescent="0.35">
      <c r="A84">
        <v>2032</v>
      </c>
      <c r="B84">
        <v>342052.59999999974</v>
      </c>
      <c r="C84">
        <v>29621.144799999995</v>
      </c>
      <c r="D84">
        <v>363949.21999999991</v>
      </c>
      <c r="E84">
        <v>269839.25999999995</v>
      </c>
      <c r="F84">
        <v>274026.06</v>
      </c>
      <c r="G84">
        <v>137285.17199999996</v>
      </c>
    </row>
    <row r="85" spans="1:7" x14ac:dyDescent="0.35">
      <c r="A85">
        <v>2033</v>
      </c>
      <c r="B85">
        <v>342052.59999999974</v>
      </c>
      <c r="C85">
        <v>29312.717199999992</v>
      </c>
      <c r="D85">
        <v>357459.67999999988</v>
      </c>
      <c r="E85">
        <v>267350.43999999994</v>
      </c>
      <c r="F85">
        <v>266420.03999999998</v>
      </c>
      <c r="G85">
        <v>134984.75799999994</v>
      </c>
    </row>
    <row r="86" spans="1:7" x14ac:dyDescent="0.35">
      <c r="A86">
        <v>2034</v>
      </c>
      <c r="B86">
        <v>342052.59999999974</v>
      </c>
      <c r="C86">
        <v>29004.289599999989</v>
      </c>
      <c r="D86">
        <v>350970.13999999984</v>
      </c>
      <c r="E86">
        <v>264861.61999999994</v>
      </c>
      <c r="F86">
        <v>258814.02</v>
      </c>
      <c r="G86">
        <v>132684.34399999992</v>
      </c>
    </row>
    <row r="87" spans="1:7" x14ac:dyDescent="0.35">
      <c r="A87">
        <v>2035</v>
      </c>
      <c r="B87">
        <v>342052.59999999974</v>
      </c>
      <c r="C87">
        <v>28695.861999999986</v>
      </c>
      <c r="D87">
        <v>344480.5999999998</v>
      </c>
      <c r="E87">
        <v>262372.79999999993</v>
      </c>
      <c r="F87">
        <v>251208</v>
      </c>
      <c r="G87">
        <v>130383.92999999991</v>
      </c>
    </row>
    <row r="88" spans="1:7" x14ac:dyDescent="0.35">
      <c r="A88">
        <v>2036</v>
      </c>
      <c r="B88">
        <v>342052.59999999974</v>
      </c>
      <c r="C88">
        <v>28387.434399999984</v>
      </c>
      <c r="D88">
        <v>337991.05999999976</v>
      </c>
      <c r="E88">
        <v>259883.97999999992</v>
      </c>
      <c r="F88">
        <v>243601.98</v>
      </c>
      <c r="G88">
        <v>128083.51599999989</v>
      </c>
    </row>
    <row r="89" spans="1:7" x14ac:dyDescent="0.35">
      <c r="A89">
        <v>2037</v>
      </c>
      <c r="B89">
        <v>342052.59999999974</v>
      </c>
      <c r="C89">
        <v>28079.006799999981</v>
      </c>
      <c r="D89">
        <v>331501.51999999973</v>
      </c>
      <c r="E89">
        <v>257395.15999999992</v>
      </c>
      <c r="F89">
        <v>235995.96000000002</v>
      </c>
      <c r="G89">
        <v>125783.10199999987</v>
      </c>
    </row>
    <row r="90" spans="1:7" x14ac:dyDescent="0.35">
      <c r="A90">
        <v>2038</v>
      </c>
      <c r="B90">
        <v>342052.59999999974</v>
      </c>
      <c r="C90">
        <v>27770.579199999978</v>
      </c>
      <c r="D90">
        <v>325011.97999999969</v>
      </c>
      <c r="E90">
        <v>254906.33999999991</v>
      </c>
      <c r="F90">
        <v>228389.94000000003</v>
      </c>
      <c r="G90">
        <v>123482.68799999985</v>
      </c>
    </row>
    <row r="91" spans="1:7" x14ac:dyDescent="0.35">
      <c r="A91">
        <v>2039</v>
      </c>
      <c r="B91">
        <v>342052.59999999974</v>
      </c>
      <c r="C91">
        <v>27462.151599999976</v>
      </c>
      <c r="D91">
        <v>318522.43999999965</v>
      </c>
      <c r="E91">
        <v>252417.5199999999</v>
      </c>
      <c r="F91">
        <v>220783.92000000004</v>
      </c>
      <c r="G91">
        <v>121182.27399999983</v>
      </c>
    </row>
    <row r="92" spans="1:7" x14ac:dyDescent="0.35">
      <c r="A92">
        <v>2040</v>
      </c>
      <c r="B92">
        <v>342052.59999999974</v>
      </c>
      <c r="C92">
        <v>27153.723999999973</v>
      </c>
      <c r="D92">
        <v>312032.89999999962</v>
      </c>
      <c r="E92">
        <v>249928.6999999999</v>
      </c>
      <c r="F92">
        <v>213177.90000000005</v>
      </c>
      <c r="G92">
        <v>118881.85999999981</v>
      </c>
    </row>
    <row r="93" spans="1:7" x14ac:dyDescent="0.35">
      <c r="A93">
        <f>A92+1</f>
        <v>2041</v>
      </c>
      <c r="B93">
        <v>342052.59999999974</v>
      </c>
      <c r="C93">
        <v>27153.723999999973</v>
      </c>
      <c r="D93">
        <v>312032.89999999962</v>
      </c>
      <c r="E93">
        <v>249928.6999999999</v>
      </c>
      <c r="F93">
        <v>213177.90000000005</v>
      </c>
      <c r="G93">
        <v>118881.85999999981</v>
      </c>
    </row>
    <row r="94" spans="1:7" x14ac:dyDescent="0.35">
      <c r="A94">
        <f>A93+1</f>
        <v>2042</v>
      </c>
      <c r="B94">
        <v>342052.59999999974</v>
      </c>
      <c r="C94">
        <v>27153.723999999973</v>
      </c>
      <c r="D94">
        <v>312032.89999999962</v>
      </c>
      <c r="E94">
        <v>249928.6999999999</v>
      </c>
      <c r="F94">
        <v>213177.90000000005</v>
      </c>
      <c r="G94">
        <v>118881.85999999981</v>
      </c>
    </row>
    <row r="95" spans="1:7" x14ac:dyDescent="0.35">
      <c r="A95">
        <f>A94+1</f>
        <v>2043</v>
      </c>
      <c r="B95">
        <v>342052.59999999974</v>
      </c>
      <c r="C95">
        <v>27153.723999999973</v>
      </c>
      <c r="D95">
        <v>312032.89999999962</v>
      </c>
      <c r="E95">
        <v>249928.6999999999</v>
      </c>
      <c r="F95">
        <v>213177.90000000005</v>
      </c>
      <c r="G95">
        <v>118881.85999999981</v>
      </c>
    </row>
    <row r="96" spans="1:7" x14ac:dyDescent="0.35">
      <c r="A96">
        <f>A95+1</f>
        <v>2044</v>
      </c>
      <c r="B96">
        <v>342052.59999999974</v>
      </c>
      <c r="C96">
        <v>27153.723999999973</v>
      </c>
      <c r="D96">
        <v>312032.89999999962</v>
      </c>
      <c r="E96">
        <v>249928.6999999999</v>
      </c>
      <c r="F96">
        <v>213177.90000000005</v>
      </c>
      <c r="G96">
        <v>118881.85999999981</v>
      </c>
    </row>
    <row r="97" spans="1:29" x14ac:dyDescent="0.35">
      <c r="A97">
        <f>A96+1</f>
        <v>2045</v>
      </c>
      <c r="B97">
        <v>342052.59999999974</v>
      </c>
      <c r="C97">
        <v>27153.723999999973</v>
      </c>
      <c r="D97">
        <v>312032.89999999962</v>
      </c>
      <c r="E97">
        <v>249928.6999999999</v>
      </c>
      <c r="F97">
        <v>213177.90000000005</v>
      </c>
      <c r="G97">
        <v>118881.85999999981</v>
      </c>
    </row>
    <row r="100" spans="1:29" x14ac:dyDescent="0.35">
      <c r="A100" s="42"/>
      <c r="B100" s="187" t="s">
        <v>64</v>
      </c>
      <c r="C100" s="187"/>
      <c r="D100" s="187"/>
      <c r="E100" s="187"/>
      <c r="F100" s="187"/>
      <c r="G100" s="187" t="s">
        <v>65</v>
      </c>
      <c r="H100" s="187"/>
      <c r="I100" s="187"/>
      <c r="J100" s="188" t="s">
        <v>66</v>
      </c>
      <c r="K100" s="189"/>
      <c r="L100" s="189"/>
      <c r="M100" s="190"/>
      <c r="N100" s="187" t="s">
        <v>67</v>
      </c>
      <c r="O100" s="187"/>
      <c r="P100" s="187"/>
      <c r="Q100" s="187"/>
      <c r="R100" s="187"/>
      <c r="S100" s="187"/>
      <c r="T100" s="187" t="s">
        <v>68</v>
      </c>
      <c r="U100" s="187"/>
      <c r="V100" s="187"/>
      <c r="W100" s="187"/>
      <c r="X100" s="187"/>
      <c r="Y100" s="187" t="s">
        <v>69</v>
      </c>
      <c r="Z100" s="187"/>
      <c r="AA100" s="187"/>
      <c r="AB100" s="187"/>
      <c r="AC100" s="187"/>
    </row>
    <row r="101" spans="1:29" x14ac:dyDescent="0.35">
      <c r="A101" s="42" t="s">
        <v>78</v>
      </c>
      <c r="B101" s="42" t="s">
        <v>70</v>
      </c>
      <c r="C101" s="42" t="s">
        <v>71</v>
      </c>
      <c r="D101" s="42" t="s">
        <v>72</v>
      </c>
      <c r="E101" s="42" t="s">
        <v>73</v>
      </c>
      <c r="F101" s="42" t="s">
        <v>74</v>
      </c>
      <c r="G101" s="42" t="s">
        <v>70</v>
      </c>
      <c r="H101" s="42" t="s">
        <v>72</v>
      </c>
      <c r="I101" s="42" t="s">
        <v>74</v>
      </c>
      <c r="J101" s="42" t="s">
        <v>70</v>
      </c>
      <c r="K101" s="42" t="s">
        <v>72</v>
      </c>
      <c r="L101" s="42" t="s">
        <v>74</v>
      </c>
      <c r="M101" s="42" t="s">
        <v>76</v>
      </c>
      <c r="N101" s="42" t="s">
        <v>70</v>
      </c>
      <c r="O101" s="42" t="s">
        <v>77</v>
      </c>
      <c r="P101" s="42" t="s">
        <v>72</v>
      </c>
      <c r="Q101" s="42" t="s">
        <v>73</v>
      </c>
      <c r="R101" s="42" t="s">
        <v>74</v>
      </c>
      <c r="S101" s="42" t="s">
        <v>71</v>
      </c>
      <c r="T101" s="42" t="s">
        <v>70</v>
      </c>
      <c r="U101" s="42" t="s">
        <v>77</v>
      </c>
      <c r="V101" s="42" t="s">
        <v>71</v>
      </c>
      <c r="W101" s="42" t="s">
        <v>72</v>
      </c>
      <c r="X101" s="42" t="s">
        <v>74</v>
      </c>
      <c r="Y101" s="42" t="s">
        <v>70</v>
      </c>
      <c r="Z101" s="42" t="s">
        <v>77</v>
      </c>
      <c r="AA101" s="42" t="s">
        <v>72</v>
      </c>
      <c r="AB101" s="42" t="s">
        <v>74</v>
      </c>
      <c r="AC101" s="42" t="s">
        <v>71</v>
      </c>
    </row>
    <row r="102" spans="1:29" x14ac:dyDescent="0.3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x14ac:dyDescent="0.35">
      <c r="A103" s="41">
        <v>2020</v>
      </c>
      <c r="B103" s="33">
        <v>1.70549842494939E-2</v>
      </c>
      <c r="C103" s="33">
        <v>9.7543505748386578E-3</v>
      </c>
      <c r="D103" s="33">
        <v>0.95730713852405691</v>
      </c>
      <c r="E103" s="33">
        <v>6.8211751120076589E-3</v>
      </c>
      <c r="F103" s="33">
        <v>9.0623515396028396E-3</v>
      </c>
      <c r="G103" s="33">
        <v>0.18937595979338262</v>
      </c>
      <c r="H103" s="33">
        <v>0.7631927963143933</v>
      </c>
      <c r="I103" s="33">
        <v>4.7431243892223918E-2</v>
      </c>
      <c r="J103" s="33">
        <v>3.0707196029776736E-2</v>
      </c>
      <c r="K103" s="33">
        <v>0.93114143920595527</v>
      </c>
      <c r="L103" s="33">
        <v>3.8151364764268003E-2</v>
      </c>
      <c r="M103" s="33">
        <v>0</v>
      </c>
      <c r="N103" s="33">
        <v>0.38632686084142392</v>
      </c>
      <c r="O103" s="33">
        <v>0.11933656957928801</v>
      </c>
      <c r="P103" s="33">
        <v>6.7556634304207136E-2</v>
      </c>
      <c r="Q103" s="33">
        <v>6.1893203883495153E-2</v>
      </c>
      <c r="R103" s="33">
        <v>0.34182847896440127</v>
      </c>
      <c r="S103" s="33">
        <v>2.305825242718448E-2</v>
      </c>
      <c r="T103" s="33">
        <v>0.18496732026143792</v>
      </c>
      <c r="U103" s="33">
        <v>3.9215686274509776E-2</v>
      </c>
      <c r="V103" s="33">
        <v>0.20326797385620926</v>
      </c>
      <c r="W103" s="33">
        <v>5.3267973856209141E-2</v>
      </c>
      <c r="X103" s="33">
        <v>0.51928104575163403</v>
      </c>
      <c r="Y103" s="33">
        <v>0.4711211778029446</v>
      </c>
      <c r="Z103" s="33">
        <v>3.1143827859569689E-2</v>
      </c>
      <c r="AA103" s="33">
        <v>0.12684031710079277</v>
      </c>
      <c r="AB103" s="33">
        <v>0.35447338618346547</v>
      </c>
      <c r="AC103" s="33">
        <v>1.6421291053227583E-2</v>
      </c>
    </row>
    <row r="104" spans="1:29" x14ac:dyDescent="0.35">
      <c r="A104" s="41">
        <v>2021</v>
      </c>
      <c r="B104" s="33">
        <v>1.7054984249493865E-2</v>
      </c>
      <c r="C104" s="33">
        <v>9.7543505748386578E-3</v>
      </c>
      <c r="D104" s="33">
        <v>0.95730713852405691</v>
      </c>
      <c r="E104" s="33">
        <v>6.8211751120076589E-3</v>
      </c>
      <c r="F104" s="33">
        <v>9.0623515396028396E-3</v>
      </c>
      <c r="G104" s="33">
        <v>0.18937595979338265</v>
      </c>
      <c r="H104" s="33">
        <v>0.76319279631439341</v>
      </c>
      <c r="I104" s="33">
        <v>4.7431243892223918E-2</v>
      </c>
      <c r="J104" s="33">
        <v>3.6245126705653032E-2</v>
      </c>
      <c r="K104" s="33">
        <v>0.92468226120857699</v>
      </c>
      <c r="L104" s="33">
        <v>3.8255360623781702E-2</v>
      </c>
      <c r="M104" s="33">
        <v>1E-3</v>
      </c>
      <c r="N104" s="33">
        <v>0.38655122188056323</v>
      </c>
      <c r="O104" s="33">
        <v>0.12016507525489563</v>
      </c>
      <c r="P104" s="33">
        <v>6.5949182715649798E-2</v>
      </c>
      <c r="Q104" s="33">
        <v>6.3521605437773118E-2</v>
      </c>
      <c r="R104" s="33">
        <v>0.33937530344715972</v>
      </c>
      <c r="S104" s="33">
        <v>2.4437611263958568E-2</v>
      </c>
      <c r="T104" s="33">
        <v>0.18965059120499536</v>
      </c>
      <c r="U104" s="33">
        <v>3.9457951375049802E-2</v>
      </c>
      <c r="V104" s="33">
        <v>0.20751959612063245</v>
      </c>
      <c r="W104" s="33">
        <v>5.0285638368539928E-2</v>
      </c>
      <c r="X104" s="33">
        <v>0.51308622293078265</v>
      </c>
      <c r="Y104" s="33">
        <v>0.47437355674351389</v>
      </c>
      <c r="Z104" s="33">
        <v>3.0586731058964235E-2</v>
      </c>
      <c r="AA104" s="33">
        <v>0.12653586963614924</v>
      </c>
      <c r="AB104" s="33">
        <v>0.3447761035391847</v>
      </c>
      <c r="AC104" s="33">
        <v>2.3727739022187996E-2</v>
      </c>
    </row>
    <row r="105" spans="1:29" x14ac:dyDescent="0.35">
      <c r="A105" s="41">
        <v>2022</v>
      </c>
      <c r="B105" s="33">
        <v>1.7054984249493865E-2</v>
      </c>
      <c r="C105" s="33">
        <v>9.7543505748386578E-3</v>
      </c>
      <c r="D105" s="33">
        <v>0.95730713852405691</v>
      </c>
      <c r="E105" s="33">
        <v>6.8211751120076589E-3</v>
      </c>
      <c r="F105" s="33">
        <v>9.0623515396028396E-3</v>
      </c>
      <c r="G105" s="33">
        <v>0.18937595979338268</v>
      </c>
      <c r="H105" s="33">
        <v>0.76319279631439341</v>
      </c>
      <c r="I105" s="33">
        <v>4.7431243892223918E-2</v>
      </c>
      <c r="J105" s="33">
        <v>4.1586883676400156E-2</v>
      </c>
      <c r="K105" s="33">
        <v>0.9184164672091909</v>
      </c>
      <c r="L105" s="33">
        <v>3.8355672570607985E-2</v>
      </c>
      <c r="M105" s="33">
        <v>2E-3</v>
      </c>
      <c r="N105" s="33">
        <v>0.38677565555195864</v>
      </c>
      <c r="O105" s="33">
        <v>0.12099384914211724</v>
      </c>
      <c r="P105" s="33">
        <v>6.4341210747814848E-2</v>
      </c>
      <c r="Q105" s="33">
        <v>6.5150534153447737E-2</v>
      </c>
      <c r="R105" s="33">
        <v>0.33692133376497252</v>
      </c>
      <c r="S105" s="33">
        <v>2.5817416639689204E-2</v>
      </c>
      <c r="T105" s="33">
        <v>0.19448946515397086</v>
      </c>
      <c r="U105" s="33">
        <v>3.9708265802269035E-2</v>
      </c>
      <c r="V105" s="33">
        <v>0.21191247974068075</v>
      </c>
      <c r="W105" s="33">
        <v>4.7204213938411677E-2</v>
      </c>
      <c r="X105" s="33">
        <v>0.50668557536466785</v>
      </c>
      <c r="Y105" s="33">
        <v>0.47774416722597474</v>
      </c>
      <c r="Z105" s="33">
        <v>3.0009382493443912E-2</v>
      </c>
      <c r="AA105" s="33">
        <v>0.12622035479779939</v>
      </c>
      <c r="AB105" s="33">
        <v>0.33472630210784304</v>
      </c>
      <c r="AC105" s="33">
        <v>3.1299793374938899E-2</v>
      </c>
    </row>
    <row r="106" spans="1:29" x14ac:dyDescent="0.35">
      <c r="A106" s="41">
        <v>2023</v>
      </c>
      <c r="B106" s="33">
        <v>1.7054984249493865E-2</v>
      </c>
      <c r="C106" s="33">
        <v>9.7543505748386578E-3</v>
      </c>
      <c r="D106" s="33">
        <v>0.95730713852405691</v>
      </c>
      <c r="E106" s="33">
        <v>6.8211751120076589E-3</v>
      </c>
      <c r="F106" s="33">
        <v>9.0623515396028396E-3</v>
      </c>
      <c r="G106" s="33">
        <v>0.18937595979338268</v>
      </c>
      <c r="H106" s="33">
        <v>0.76319279631439341</v>
      </c>
      <c r="I106" s="33">
        <v>4.7431243892223918E-2</v>
      </c>
      <c r="J106" s="33">
        <v>4.6742709313264269E-2</v>
      </c>
      <c r="K106" s="33">
        <v>0.91233396048918136</v>
      </c>
      <c r="L106" s="33">
        <v>3.8452492944496763E-2</v>
      </c>
      <c r="M106" s="33">
        <v>3.0000000000000001E-3</v>
      </c>
      <c r="N106" s="33">
        <v>0.38700016189088565</v>
      </c>
      <c r="O106" s="33">
        <v>0.12182289137121587</v>
      </c>
      <c r="P106" s="33">
        <v>6.2732718147968283E-2</v>
      </c>
      <c r="Q106" s="33">
        <v>6.6779990286546895E-2</v>
      </c>
      <c r="R106" s="33">
        <v>0.33446656953213538</v>
      </c>
      <c r="S106" s="33">
        <v>2.719766877124815E-2</v>
      </c>
      <c r="T106" s="33">
        <v>0.19949182804559817</v>
      </c>
      <c r="U106" s="33">
        <v>3.996703749484961E-2</v>
      </c>
      <c r="V106" s="33">
        <v>0.21645378382090374</v>
      </c>
      <c r="W106" s="33">
        <v>4.4018678752918566E-2</v>
      </c>
      <c r="X106" s="33">
        <v>0.50006867188573023</v>
      </c>
      <c r="Y106" s="33">
        <v>0.48123957558862551</v>
      </c>
      <c r="Z106" s="33">
        <v>2.9410657421358236E-2</v>
      </c>
      <c r="AA106" s="33">
        <v>0.12589315792641742</v>
      </c>
      <c r="AB106" s="33">
        <v>0.32430440371617719</v>
      </c>
      <c r="AC106" s="33">
        <v>3.9152205347421566E-2</v>
      </c>
    </row>
    <row r="107" spans="1:29" x14ac:dyDescent="0.35">
      <c r="A107" s="41">
        <v>2024</v>
      </c>
      <c r="B107" s="33">
        <v>1.7054984249493865E-2</v>
      </c>
      <c r="C107" s="33">
        <v>9.7543505748386578E-3</v>
      </c>
      <c r="D107" s="33">
        <v>0.95730713852405691</v>
      </c>
      <c r="E107" s="33">
        <v>6.8211751120076589E-3</v>
      </c>
      <c r="F107" s="33">
        <v>9.0623515396028396E-3</v>
      </c>
      <c r="G107" s="33">
        <v>0.18937595979338268</v>
      </c>
      <c r="H107" s="33">
        <v>0.76319279631439341</v>
      </c>
      <c r="I107" s="33">
        <v>4.7431243892223918E-2</v>
      </c>
      <c r="J107" s="33">
        <v>5.1722145168746986E-2</v>
      </c>
      <c r="K107" s="33">
        <v>0.9064253351826167</v>
      </c>
      <c r="L107" s="33">
        <v>3.854600092464177E-2</v>
      </c>
      <c r="M107" s="33">
        <v>4.0000000000000001E-3</v>
      </c>
      <c r="N107" s="33">
        <v>0.38722474093264264</v>
      </c>
      <c r="O107" s="33">
        <v>0.12265220207253896</v>
      </c>
      <c r="P107" s="33">
        <v>6.1123704663212451E-2</v>
      </c>
      <c r="Q107" s="33">
        <v>6.8409974093264284E-2</v>
      </c>
      <c r="R107" s="33">
        <v>0.33201101036269437</v>
      </c>
      <c r="S107" s="33">
        <v>2.8578367875647631E-2</v>
      </c>
      <c r="T107" s="33">
        <v>0.20466610785135519</v>
      </c>
      <c r="U107" s="33">
        <v>4.0234702430846613E-2</v>
      </c>
      <c r="V107" s="33">
        <v>0.22115115954177142</v>
      </c>
      <c r="W107" s="33">
        <v>4.0723665828443709E-2</v>
      </c>
      <c r="X107" s="33">
        <v>0.49322436434758338</v>
      </c>
      <c r="Y107" s="33">
        <v>0.48486684358252119</v>
      </c>
      <c r="Z107" s="33">
        <v>2.8789346242291208E-2</v>
      </c>
      <c r="AA107" s="33">
        <v>0.1255536179882665</v>
      </c>
      <c r="AB107" s="33">
        <v>0.31348935306983305</v>
      </c>
      <c r="AC107" s="33">
        <v>4.7300839117087878E-2</v>
      </c>
    </row>
    <row r="108" spans="1:29" x14ac:dyDescent="0.35">
      <c r="A108" s="41">
        <v>2025</v>
      </c>
      <c r="B108" s="33">
        <v>1.7054984249493865E-2</v>
      </c>
      <c r="C108" s="33">
        <v>9.7543505748386578E-3</v>
      </c>
      <c r="D108" s="33">
        <v>0.95730713852405691</v>
      </c>
      <c r="E108" s="33">
        <v>6.8211751120076589E-3</v>
      </c>
      <c r="F108" s="33">
        <v>9.0623515396028396E-3</v>
      </c>
      <c r="G108" s="33">
        <v>0.18937595979338268</v>
      </c>
      <c r="H108" s="33">
        <v>0.7631927963143933</v>
      </c>
      <c r="I108" s="33">
        <v>4.7431243892223918E-2</v>
      </c>
      <c r="J108" s="33">
        <v>5.6534090909090749E-2</v>
      </c>
      <c r="K108" s="33">
        <v>0.90068181818181814</v>
      </c>
      <c r="L108" s="33">
        <v>3.8636363636363712E-2</v>
      </c>
      <c r="M108" s="33">
        <v>5.0000000000000001E-3</v>
      </c>
      <c r="N108" s="33">
        <v>0.38744939271255063</v>
      </c>
      <c r="O108" s="33">
        <v>0.12348178137651825</v>
      </c>
      <c r="P108" s="33">
        <v>5.9514170040485835E-2</v>
      </c>
      <c r="Q108" s="33">
        <v>7.0040485829959517E-2</v>
      </c>
      <c r="R108" s="33">
        <v>0.32955465587044541</v>
      </c>
      <c r="S108" s="33">
        <v>2.9959514170040426E-2</v>
      </c>
      <c r="T108" s="33">
        <v>0.21002132196162046</v>
      </c>
      <c r="U108" s="33">
        <v>4.0511727078891273E-2</v>
      </c>
      <c r="V108" s="33">
        <v>0.22601279317697223</v>
      </c>
      <c r="W108" s="33">
        <v>3.7313432835820892E-2</v>
      </c>
      <c r="X108" s="33">
        <v>0.48614072494669508</v>
      </c>
      <c r="Y108" s="33">
        <v>0.48863357599164592</v>
      </c>
      <c r="Z108" s="33">
        <v>2.8144146340248744E-2</v>
      </c>
      <c r="AA108" s="33">
        <v>0.12520102311758763</v>
      </c>
      <c r="AB108" s="33">
        <v>0.30225847576921278</v>
      </c>
      <c r="AC108" s="33">
        <v>5.5762778781304694E-2</v>
      </c>
    </row>
    <row r="109" spans="1:29" x14ac:dyDescent="0.35">
      <c r="A109" s="41">
        <v>2026</v>
      </c>
      <c r="B109" s="33">
        <v>1.7054984249493865E-2</v>
      </c>
      <c r="C109" s="33">
        <v>9.7543505748386578E-3</v>
      </c>
      <c r="D109" s="33">
        <v>0.95730713852405691</v>
      </c>
      <c r="E109" s="33">
        <v>6.8211751120076589E-3</v>
      </c>
      <c r="F109" s="33">
        <v>9.0623515396028396E-3</v>
      </c>
      <c r="G109" s="33">
        <v>0.18937595979338268</v>
      </c>
      <c r="H109" s="33">
        <v>0.7631927963143933</v>
      </c>
      <c r="I109" s="33">
        <v>4.7431243892223918E-2</v>
      </c>
      <c r="J109" s="33">
        <v>6.8356330465908291E-2</v>
      </c>
      <c r="K109" s="33">
        <v>0.87772495814329421</v>
      </c>
      <c r="L109" s="33">
        <v>4.8611512037411299E-2</v>
      </c>
      <c r="M109" s="33">
        <v>6.0000000000000001E-3</v>
      </c>
      <c r="N109" s="33">
        <v>0.39026382422608841</v>
      </c>
      <c r="O109" s="33">
        <v>0.12162051784693297</v>
      </c>
      <c r="P109" s="33">
        <v>5.8564077432001968E-2</v>
      </c>
      <c r="Q109" s="33">
        <v>6.7630482724822361E-2</v>
      </c>
      <c r="R109" s="33">
        <v>0.32875929102344204</v>
      </c>
      <c r="S109" s="33">
        <v>3.316180674671234E-2</v>
      </c>
      <c r="T109" s="33">
        <v>0.21290838972567852</v>
      </c>
      <c r="U109" s="33">
        <v>4.2057774867205154E-2</v>
      </c>
      <c r="V109" s="33">
        <v>0.23917630793858691</v>
      </c>
      <c r="W109" s="33">
        <v>3.2598413737902933E-2</v>
      </c>
      <c r="X109" s="33">
        <v>0.47325911373062651</v>
      </c>
      <c r="Y109" s="33">
        <v>0.49254797385357885</v>
      </c>
      <c r="Z109" s="33">
        <v>2.7473652967542918E-2</v>
      </c>
      <c r="AA109" s="33">
        <v>0.12483460563473953</v>
      </c>
      <c r="AB109" s="33">
        <v>0.29058731962690665</v>
      </c>
      <c r="AC109" s="33">
        <v>6.455644791723171E-2</v>
      </c>
    </row>
    <row r="110" spans="1:29" x14ac:dyDescent="0.35">
      <c r="A110" s="41">
        <v>2027</v>
      </c>
      <c r="B110" s="33">
        <v>1.7054984249493865E-2</v>
      </c>
      <c r="C110" s="33">
        <v>9.7543505748386578E-3</v>
      </c>
      <c r="D110" s="33">
        <v>0.95730713852405691</v>
      </c>
      <c r="E110" s="33">
        <v>6.8211751120076589E-3</v>
      </c>
      <c r="F110" s="33">
        <v>9.0623515396028396E-3</v>
      </c>
      <c r="G110" s="33">
        <v>0.18937595979338268</v>
      </c>
      <c r="H110" s="33">
        <v>0.7631927963143933</v>
      </c>
      <c r="I110" s="33">
        <v>4.7431243892223918E-2</v>
      </c>
      <c r="J110" s="33">
        <v>8.056566130735815E-2</v>
      </c>
      <c r="K110" s="33">
        <v>0.85404917263232005</v>
      </c>
      <c r="L110" s="33">
        <v>5.8913273090012971E-2</v>
      </c>
      <c r="M110" s="33">
        <v>7.0000000000000001E-3</v>
      </c>
      <c r="N110" s="33">
        <v>0.39312788398154253</v>
      </c>
      <c r="O110" s="33">
        <v>0.11972643375082402</v>
      </c>
      <c r="P110" s="33">
        <v>5.7597231377719188E-2</v>
      </c>
      <c r="Q110" s="33">
        <v>6.51779828609097E-2</v>
      </c>
      <c r="R110" s="33">
        <v>0.32794990112063288</v>
      </c>
      <c r="S110" s="33">
        <v>3.642056690837172E-2</v>
      </c>
      <c r="T110" s="33">
        <v>0.21593619558735835</v>
      </c>
      <c r="U110" s="33">
        <v>4.3679189028026283E-2</v>
      </c>
      <c r="V110" s="33">
        <v>0.25298151460942159</v>
      </c>
      <c r="W110" s="33">
        <v>2.765354800238521E-2</v>
      </c>
      <c r="X110" s="33">
        <v>0.45974955277280871</v>
      </c>
      <c r="Y110" s="33">
        <v>0.49661889406445581</v>
      </c>
      <c r="Z110" s="33">
        <v>2.6776349035116557E-2</v>
      </c>
      <c r="AA110" s="33">
        <v>0.12445353646671978</v>
      </c>
      <c r="AB110" s="33">
        <v>0.27844947694973105</v>
      </c>
      <c r="AC110" s="33">
        <v>7.3701743483976359E-2</v>
      </c>
    </row>
    <row r="111" spans="1:29" x14ac:dyDescent="0.35">
      <c r="A111" s="41">
        <v>2028</v>
      </c>
      <c r="B111" s="33">
        <v>1.7054984249493865E-2</v>
      </c>
      <c r="C111" s="33">
        <v>9.7543505748386578E-3</v>
      </c>
      <c r="D111" s="33">
        <v>0.95730713852405691</v>
      </c>
      <c r="E111" s="33">
        <v>6.8211751120076589E-3</v>
      </c>
      <c r="F111" s="33">
        <v>9.0623515396028396E-3</v>
      </c>
      <c r="G111" s="33">
        <v>0.1893759597933827</v>
      </c>
      <c r="H111" s="33">
        <v>0.7631927963143933</v>
      </c>
      <c r="I111" s="33">
        <v>4.7431243892223918E-2</v>
      </c>
      <c r="J111" s="33">
        <v>9.3181411441865883E-2</v>
      </c>
      <c r="K111" s="33">
        <v>0.82961856469605688</v>
      </c>
      <c r="L111" s="33">
        <v>6.9557955019984546E-2</v>
      </c>
      <c r="M111" s="33">
        <v>8.0000000000000002E-3</v>
      </c>
      <c r="N111" s="33">
        <v>0.39604289633385981</v>
      </c>
      <c r="O111" s="33">
        <v>0.11779865325463466</v>
      </c>
      <c r="P111" s="33">
        <v>5.6613184803391815E-2</v>
      </c>
      <c r="Q111" s="33">
        <v>6.2681852190539553E-2</v>
      </c>
      <c r="R111" s="33">
        <v>0.32712611189625085</v>
      </c>
      <c r="S111" s="33">
        <v>3.9737301521323397E-2</v>
      </c>
      <c r="T111" s="33">
        <v>0.21911528764611501</v>
      </c>
      <c r="U111" s="33">
        <v>4.5381618152647324E-2</v>
      </c>
      <c r="V111" s="33">
        <v>0.26747650699060288</v>
      </c>
      <c r="W111" s="33">
        <v>2.2461608984643593E-2</v>
      </c>
      <c r="X111" s="33">
        <v>0.44556497822599145</v>
      </c>
      <c r="Y111" s="33">
        <v>0.5008559162799493</v>
      </c>
      <c r="Z111" s="33">
        <v>2.6050593653139918E-2</v>
      </c>
      <c r="AA111" s="33">
        <v>0.12405691888472314</v>
      </c>
      <c r="AB111" s="33">
        <v>0.26581638506697991</v>
      </c>
      <c r="AC111" s="33">
        <v>8.3220186115207234E-2</v>
      </c>
    </row>
    <row r="112" spans="1:29" x14ac:dyDescent="0.35">
      <c r="A112" s="41">
        <v>2029</v>
      </c>
      <c r="B112" s="33">
        <v>1.7054984249493865E-2</v>
      </c>
      <c r="C112" s="33">
        <v>9.7543505748386578E-3</v>
      </c>
      <c r="D112" s="33">
        <v>0.95730713852405691</v>
      </c>
      <c r="E112" s="33">
        <v>6.8211751120076589E-3</v>
      </c>
      <c r="F112" s="33">
        <v>9.0623515396028396E-3</v>
      </c>
      <c r="G112" s="33">
        <v>0.1893759597933827</v>
      </c>
      <c r="H112" s="33">
        <v>0.7631927963143933</v>
      </c>
      <c r="I112" s="33">
        <v>4.7431243892223918E-2</v>
      </c>
      <c r="J112" s="33">
        <v>0.10622421742295547</v>
      </c>
      <c r="K112" s="33">
        <v>0.80439480708565869</v>
      </c>
      <c r="L112" s="33">
        <v>8.0562970152875571E-2</v>
      </c>
      <c r="M112" s="33">
        <v>9.0000000000000011E-3</v>
      </c>
      <c r="N112" s="33">
        <v>0.3990102331823519</v>
      </c>
      <c r="O112" s="33">
        <v>0.11583626908236877</v>
      </c>
      <c r="P112" s="33">
        <v>5.5611474584801215E-2</v>
      </c>
      <c r="Q112" s="33">
        <v>6.0140915953699067E-2</v>
      </c>
      <c r="R112" s="33">
        <v>0.32628753564838126</v>
      </c>
      <c r="S112" s="33">
        <v>4.3113571548397844E-2</v>
      </c>
      <c r="T112" s="33">
        <v>0.22245729509481268</v>
      </c>
      <c r="U112" s="33">
        <v>4.7171289766494359E-2</v>
      </c>
      <c r="V112" s="33">
        <v>0.28271430810217846</v>
      </c>
      <c r="W112" s="33">
        <v>1.7003604450713052E-2</v>
      </c>
      <c r="X112" s="33">
        <v>0.43065350258580182</v>
      </c>
      <c r="Y112" s="33">
        <v>0.50526941817589099</v>
      </c>
      <c r="Z112" s="33">
        <v>2.5294609239692414E-2</v>
      </c>
      <c r="AA112" s="33">
        <v>0.12364378145917342</v>
      </c>
      <c r="AB112" s="33">
        <v>0.25265710193359292</v>
      </c>
      <c r="AC112" s="33">
        <v>9.3135089191649589E-2</v>
      </c>
    </row>
    <row r="113" spans="1:29" x14ac:dyDescent="0.35">
      <c r="A113" s="41">
        <v>2030</v>
      </c>
      <c r="B113" s="33">
        <v>1.7054984249493865E-2</v>
      </c>
      <c r="C113" s="33">
        <v>9.7543505748386578E-3</v>
      </c>
      <c r="D113" s="33">
        <v>0.95730713852405691</v>
      </c>
      <c r="E113" s="33">
        <v>6.8211751120076589E-3</v>
      </c>
      <c r="F113" s="33">
        <v>9.0623515396028396E-3</v>
      </c>
      <c r="G113" s="33">
        <v>0.18937595979338265</v>
      </c>
      <c r="H113" s="33">
        <v>0.76319279631439352</v>
      </c>
      <c r="I113" s="33">
        <v>4.7431243892223918E-2</v>
      </c>
      <c r="J113" s="33">
        <v>0.11971613699475457</v>
      </c>
      <c r="K113" s="33">
        <v>0.77833693304535645</v>
      </c>
      <c r="L113" s="33">
        <v>9.1946929959888929E-2</v>
      </c>
      <c r="M113" s="33">
        <v>1.0000000000000002E-2</v>
      </c>
      <c r="N113" s="33">
        <v>0.40203131612357179</v>
      </c>
      <c r="O113" s="33">
        <v>0.11383834109183248</v>
      </c>
      <c r="P113" s="33">
        <v>5.4591620820990262E-2</v>
      </c>
      <c r="Q113" s="33">
        <v>5.7553956834532384E-2</v>
      </c>
      <c r="R113" s="33">
        <v>0.3254337706305544</v>
      </c>
      <c r="S113" s="33">
        <v>4.6550994498518745E-2</v>
      </c>
      <c r="T113" s="33">
        <v>0.22597507036590264</v>
      </c>
      <c r="U113" s="33">
        <v>4.9055086449537683E-2</v>
      </c>
      <c r="V113" s="33">
        <v>0.29875351829513463</v>
      </c>
      <c r="W113" s="33">
        <v>1.1258544431041415E-2</v>
      </c>
      <c r="X113" s="33">
        <v>0.41495778045838355</v>
      </c>
      <c r="Y113" s="33">
        <v>0.50987066031313821</v>
      </c>
      <c r="Z113" s="33">
        <v>2.4506466984343053E-2</v>
      </c>
      <c r="AA113" s="33">
        <v>0.12321307011572498</v>
      </c>
      <c r="AB113" s="33">
        <v>0.23893805309734514</v>
      </c>
      <c r="AC113" s="33">
        <v>0.10347174948944858</v>
      </c>
    </row>
    <row r="114" spans="1:29" x14ac:dyDescent="0.35">
      <c r="A114" s="41">
        <v>2031</v>
      </c>
      <c r="B114" s="33">
        <v>1.7054984249493865E-2</v>
      </c>
      <c r="C114" s="33">
        <v>9.7543505748386578E-3</v>
      </c>
      <c r="D114" s="33">
        <v>0.95730713852405691</v>
      </c>
      <c r="E114" s="33">
        <v>6.8211751120076589E-3</v>
      </c>
      <c r="F114" s="33">
        <v>9.0623515396028396E-3</v>
      </c>
      <c r="G114" s="33">
        <v>0.18937595979338265</v>
      </c>
      <c r="H114" s="33">
        <v>0.76319279631439496</v>
      </c>
      <c r="I114" s="33">
        <v>4.7431243892223918E-2</v>
      </c>
      <c r="J114" s="33">
        <v>0.11971613699475457</v>
      </c>
      <c r="K114" s="33">
        <v>0.77833693304535645</v>
      </c>
      <c r="L114" s="33">
        <v>9.1946929959888915E-2</v>
      </c>
      <c r="M114" s="33">
        <v>1.0000000000000002E-2</v>
      </c>
      <c r="N114" s="33">
        <v>0.40203131612357179</v>
      </c>
      <c r="O114" s="33">
        <v>0.11383834109183248</v>
      </c>
      <c r="P114" s="33">
        <v>5.4591620820990262E-2</v>
      </c>
      <c r="Q114" s="33">
        <v>5.7553956834532384E-2</v>
      </c>
      <c r="R114" s="33">
        <v>0.3254337706305544</v>
      </c>
      <c r="S114" s="33">
        <v>4.6550994498518745E-2</v>
      </c>
      <c r="T114" s="33">
        <v>0.22597507036590264</v>
      </c>
      <c r="U114" s="33">
        <v>4.9055086449537683E-2</v>
      </c>
      <c r="V114" s="33">
        <v>0.29875351829513463</v>
      </c>
      <c r="W114" s="33">
        <v>1.1258544431041415E-2</v>
      </c>
      <c r="X114" s="33">
        <v>0.41495778045838355</v>
      </c>
      <c r="Y114" s="33">
        <v>0.50987066031313821</v>
      </c>
      <c r="Z114" s="33">
        <v>2.4506466984343053E-2</v>
      </c>
      <c r="AA114" s="33">
        <v>0.12321307011572498</v>
      </c>
      <c r="AB114" s="33">
        <v>0.23893805309734514</v>
      </c>
      <c r="AC114" s="33">
        <v>0.10347174948944858</v>
      </c>
    </row>
    <row r="115" spans="1:29" x14ac:dyDescent="0.35">
      <c r="A115" s="41">
        <v>2032</v>
      </c>
      <c r="B115" s="33">
        <v>1.7054984249493865E-2</v>
      </c>
      <c r="C115" s="33">
        <v>9.7543505748386578E-3</v>
      </c>
      <c r="D115" s="33">
        <v>0.95730713852405691</v>
      </c>
      <c r="E115" s="33">
        <v>6.8211751120076589E-3</v>
      </c>
      <c r="F115" s="33">
        <v>9.0623515396028396E-3</v>
      </c>
      <c r="G115" s="33">
        <v>0.18937595979338265</v>
      </c>
      <c r="H115" s="33">
        <v>0.76319279631439496</v>
      </c>
      <c r="I115" s="33">
        <v>4.7431243892223918E-2</v>
      </c>
      <c r="J115" s="33">
        <v>0.11971613699475457</v>
      </c>
      <c r="K115" s="33">
        <v>0.77833693304535634</v>
      </c>
      <c r="L115" s="33">
        <v>9.1946929959888929E-2</v>
      </c>
      <c r="M115" s="33">
        <v>1.0000000000000002E-2</v>
      </c>
      <c r="N115" s="33">
        <v>0.40203131612357179</v>
      </c>
      <c r="O115" s="33">
        <v>0.11383834109183248</v>
      </c>
      <c r="P115" s="33">
        <v>5.4591620820990262E-2</v>
      </c>
      <c r="Q115" s="33">
        <v>5.7553956834532384E-2</v>
      </c>
      <c r="R115" s="33">
        <v>0.3254337706305544</v>
      </c>
      <c r="S115" s="33">
        <v>4.6550994498518745E-2</v>
      </c>
      <c r="T115" s="33">
        <v>0.22597507036590264</v>
      </c>
      <c r="U115" s="33">
        <v>4.9055086449537683E-2</v>
      </c>
      <c r="V115" s="33">
        <v>0.29875351829513463</v>
      </c>
      <c r="W115" s="33">
        <v>1.1258544431041415E-2</v>
      </c>
      <c r="X115" s="33">
        <v>0.41495778045838355</v>
      </c>
      <c r="Y115" s="33">
        <v>0.50987066031313821</v>
      </c>
      <c r="Z115" s="33">
        <v>2.4506466984343053E-2</v>
      </c>
      <c r="AA115" s="33">
        <v>0.12321307011572498</v>
      </c>
      <c r="AB115" s="33">
        <v>0.23893805309734514</v>
      </c>
      <c r="AC115" s="33">
        <v>0.10347174948944858</v>
      </c>
    </row>
    <row r="116" spans="1:29" x14ac:dyDescent="0.35">
      <c r="A116" s="41">
        <v>2033</v>
      </c>
      <c r="B116" s="33">
        <v>1.7054984249493865E-2</v>
      </c>
      <c r="C116" s="33">
        <v>9.7543505748386578E-3</v>
      </c>
      <c r="D116" s="33">
        <v>0.95730713852405691</v>
      </c>
      <c r="E116" s="33">
        <v>6.8211751120076589E-3</v>
      </c>
      <c r="F116" s="33">
        <v>9.0623515396028396E-3</v>
      </c>
      <c r="G116" s="33">
        <v>0.18937595979338265</v>
      </c>
      <c r="H116" s="33">
        <v>0.76319279631439496</v>
      </c>
      <c r="I116" s="33">
        <v>4.7431243892223918E-2</v>
      </c>
      <c r="J116" s="33">
        <v>0.11971613699475457</v>
      </c>
      <c r="K116" s="33">
        <v>0.77833693304535634</v>
      </c>
      <c r="L116" s="33">
        <v>9.1946929959888915E-2</v>
      </c>
      <c r="M116" s="33">
        <v>1.0000000000000002E-2</v>
      </c>
      <c r="N116" s="33">
        <v>0.40203131612357179</v>
      </c>
      <c r="O116" s="33">
        <v>0.11383834109183248</v>
      </c>
      <c r="P116" s="33">
        <v>5.4591620820990262E-2</v>
      </c>
      <c r="Q116" s="33">
        <v>5.7553956834532384E-2</v>
      </c>
      <c r="R116" s="33">
        <v>0.3254337706305544</v>
      </c>
      <c r="S116" s="33">
        <v>4.6550994498518745E-2</v>
      </c>
      <c r="T116" s="33">
        <v>0.22597507036590264</v>
      </c>
      <c r="U116" s="33">
        <v>4.9055086449537683E-2</v>
      </c>
      <c r="V116" s="33">
        <v>0.29875351829513463</v>
      </c>
      <c r="W116" s="33">
        <v>1.1258544431041415E-2</v>
      </c>
      <c r="X116" s="33">
        <v>0.41495778045838355</v>
      </c>
      <c r="Y116" s="33">
        <v>0.50987066031313821</v>
      </c>
      <c r="Z116" s="33">
        <v>2.4506466984343053E-2</v>
      </c>
      <c r="AA116" s="33">
        <v>0.12321307011572498</v>
      </c>
      <c r="AB116" s="33">
        <v>0.23893805309734514</v>
      </c>
      <c r="AC116" s="33">
        <v>0.10347174948944858</v>
      </c>
    </row>
    <row r="117" spans="1:29" x14ac:dyDescent="0.35">
      <c r="A117" s="41">
        <v>2034</v>
      </c>
      <c r="B117" s="33">
        <v>1.7054984249493865E-2</v>
      </c>
      <c r="C117" s="33">
        <v>9.7543505748386578E-3</v>
      </c>
      <c r="D117" s="33">
        <v>0.95730713852405691</v>
      </c>
      <c r="E117" s="33">
        <v>6.8211751120076589E-3</v>
      </c>
      <c r="F117" s="33">
        <v>9.0623515396028396E-3</v>
      </c>
      <c r="G117" s="33">
        <v>0.18937595979338265</v>
      </c>
      <c r="H117" s="33">
        <v>0.76319279631439496</v>
      </c>
      <c r="I117" s="33">
        <v>4.7431243892223918E-2</v>
      </c>
      <c r="J117" s="33">
        <v>0.11971613699475456</v>
      </c>
      <c r="K117" s="33">
        <v>0.77833693304535634</v>
      </c>
      <c r="L117" s="33">
        <v>9.1946929959888929E-2</v>
      </c>
      <c r="M117" s="33">
        <v>1.0000000000000002E-2</v>
      </c>
      <c r="N117" s="33">
        <v>0.40203131612357179</v>
      </c>
      <c r="O117" s="33">
        <v>0.11383834109183248</v>
      </c>
      <c r="P117" s="33">
        <v>5.4591620820990262E-2</v>
      </c>
      <c r="Q117" s="33">
        <v>5.7553956834532384E-2</v>
      </c>
      <c r="R117" s="33">
        <v>0.3254337706305544</v>
      </c>
      <c r="S117" s="33">
        <v>4.6550994498518745E-2</v>
      </c>
      <c r="T117" s="33">
        <v>0.22597507036590264</v>
      </c>
      <c r="U117" s="33">
        <v>4.9055086449537683E-2</v>
      </c>
      <c r="V117" s="33">
        <v>0.29875351829513463</v>
      </c>
      <c r="W117" s="33">
        <v>1.1258544431041415E-2</v>
      </c>
      <c r="X117" s="33">
        <v>0.41495778045838355</v>
      </c>
      <c r="Y117" s="33">
        <v>0.50987066031313821</v>
      </c>
      <c r="Z117" s="33">
        <v>2.4506466984343053E-2</v>
      </c>
      <c r="AA117" s="33">
        <v>0.12321307011572498</v>
      </c>
      <c r="AB117" s="33">
        <v>0.23893805309734514</v>
      </c>
      <c r="AC117" s="33">
        <v>0.10347174948944858</v>
      </c>
    </row>
    <row r="118" spans="1:29" x14ac:dyDescent="0.35">
      <c r="A118" s="41">
        <v>2035</v>
      </c>
      <c r="B118" s="33">
        <v>1.7054984249493865E-2</v>
      </c>
      <c r="C118" s="33">
        <v>9.7543505748386578E-3</v>
      </c>
      <c r="D118" s="33">
        <v>0.95730713852405691</v>
      </c>
      <c r="E118" s="33">
        <v>6.8211751120076589E-3</v>
      </c>
      <c r="F118" s="33">
        <v>9.0623515396028396E-3</v>
      </c>
      <c r="G118" s="33">
        <v>0.18937595979338265</v>
      </c>
      <c r="H118" s="33">
        <v>0.76319279631439496</v>
      </c>
      <c r="I118" s="33">
        <v>4.7431243892223918E-2</v>
      </c>
      <c r="J118" s="33">
        <v>0.11971613699475459</v>
      </c>
      <c r="K118" s="33">
        <v>0.77833693304535645</v>
      </c>
      <c r="L118" s="33">
        <v>9.1946929959888929E-2</v>
      </c>
      <c r="M118" s="33">
        <v>1.0000000000000002E-2</v>
      </c>
      <c r="N118" s="33">
        <v>0.40203131612357179</v>
      </c>
      <c r="O118" s="33">
        <v>0.11383834109183248</v>
      </c>
      <c r="P118" s="33">
        <v>5.4591620820990262E-2</v>
      </c>
      <c r="Q118" s="33">
        <v>5.7553956834532384E-2</v>
      </c>
      <c r="R118" s="33">
        <v>0.3254337706305544</v>
      </c>
      <c r="S118" s="33">
        <v>4.6550994498518745E-2</v>
      </c>
      <c r="T118" s="33">
        <v>0.22597507036590264</v>
      </c>
      <c r="U118" s="33">
        <v>4.9055086449537683E-2</v>
      </c>
      <c r="V118" s="33">
        <v>0.29875351829513463</v>
      </c>
      <c r="W118" s="33">
        <v>1.1258544431041415E-2</v>
      </c>
      <c r="X118" s="33">
        <v>0.41495778045838355</v>
      </c>
      <c r="Y118" s="33">
        <v>0.50987066031313821</v>
      </c>
      <c r="Z118" s="33">
        <v>2.4506466984343053E-2</v>
      </c>
      <c r="AA118" s="33">
        <v>0.12321307011572498</v>
      </c>
      <c r="AB118" s="33">
        <v>0.23893805309734514</v>
      </c>
      <c r="AC118" s="33">
        <v>0.10347174948944858</v>
      </c>
    </row>
    <row r="119" spans="1:29" x14ac:dyDescent="0.35">
      <c r="A119" s="41">
        <v>2036</v>
      </c>
      <c r="B119" s="33">
        <v>1.7054984249493865E-2</v>
      </c>
      <c r="C119" s="33">
        <v>9.7543505748386578E-3</v>
      </c>
      <c r="D119" s="33">
        <v>0.95730713852405691</v>
      </c>
      <c r="E119" s="33">
        <v>6.8211751120076589E-3</v>
      </c>
      <c r="F119" s="33">
        <v>9.0623515396028396E-3</v>
      </c>
      <c r="G119" s="33">
        <v>0.18937595979338265</v>
      </c>
      <c r="H119" s="33">
        <v>0.76319279631439496</v>
      </c>
      <c r="I119" s="33">
        <v>4.7431243892223918E-2</v>
      </c>
      <c r="J119" s="33">
        <v>0.17027685589211031</v>
      </c>
      <c r="K119" s="33">
        <v>0.72934086146947585</v>
      </c>
      <c r="L119" s="33">
        <v>8.6158898876909751E-2</v>
      </c>
      <c r="M119" s="33">
        <v>1.4223383761503356E-2</v>
      </c>
      <c r="N119" s="33">
        <v>0.40203131612357179</v>
      </c>
      <c r="O119" s="33">
        <v>0.11383834109183248</v>
      </c>
      <c r="P119" s="33">
        <v>5.4591620820990262E-2</v>
      </c>
      <c r="Q119" s="33">
        <v>5.7553956834532384E-2</v>
      </c>
      <c r="R119" s="33">
        <v>0.3254337706305544</v>
      </c>
      <c r="S119" s="33">
        <v>4.6550994498518745E-2</v>
      </c>
      <c r="T119" s="33">
        <v>0.22597507036590264</v>
      </c>
      <c r="U119" s="33">
        <v>4.9055086449537683E-2</v>
      </c>
      <c r="V119" s="33">
        <v>0.29875351829513463</v>
      </c>
      <c r="W119" s="33">
        <v>1.1258544431041415E-2</v>
      </c>
      <c r="X119" s="33">
        <v>0.41495778045838355</v>
      </c>
      <c r="Y119" s="33">
        <v>0.50987066031313821</v>
      </c>
      <c r="Z119" s="33">
        <v>2.4506466984343053E-2</v>
      </c>
      <c r="AA119" s="33">
        <v>0.12321307011572498</v>
      </c>
      <c r="AB119" s="33">
        <v>0.23893805309734514</v>
      </c>
      <c r="AC119" s="33">
        <v>0.10347174948944858</v>
      </c>
    </row>
    <row r="120" spans="1:29" x14ac:dyDescent="0.35">
      <c r="A120" s="41">
        <v>2037</v>
      </c>
      <c r="B120" s="33">
        <v>1.7054984249493865E-2</v>
      </c>
      <c r="C120" s="33">
        <v>9.7543505748386578E-3</v>
      </c>
      <c r="D120" s="33">
        <v>0.95730713852405691</v>
      </c>
      <c r="E120" s="33">
        <v>6.8211751120076589E-3</v>
      </c>
      <c r="F120" s="33">
        <v>9.0623515396028396E-3</v>
      </c>
      <c r="G120" s="33">
        <v>0.18937595979338265</v>
      </c>
      <c r="H120" s="33">
        <v>0.76319279631439496</v>
      </c>
      <c r="I120" s="33">
        <v>4.7431243892223918E-2</v>
      </c>
      <c r="J120" s="33">
        <v>0.22281714826299451</v>
      </c>
      <c r="K120" s="33">
        <v>0.67842647611733031</v>
      </c>
      <c r="L120" s="33">
        <v>8.0144252487706846E-2</v>
      </c>
      <c r="M120" s="33">
        <v>1.8612123131968202E-2</v>
      </c>
      <c r="N120" s="33">
        <v>0.40203131612357179</v>
      </c>
      <c r="O120" s="33">
        <v>0.11383834109183248</v>
      </c>
      <c r="P120" s="33">
        <v>5.4591620820990262E-2</v>
      </c>
      <c r="Q120" s="33">
        <v>5.7553956834532384E-2</v>
      </c>
      <c r="R120" s="33">
        <v>0.3254337706305544</v>
      </c>
      <c r="S120" s="33">
        <v>4.6550994498518745E-2</v>
      </c>
      <c r="T120" s="33">
        <v>0.22597507036590264</v>
      </c>
      <c r="U120" s="33">
        <v>4.9055086449537683E-2</v>
      </c>
      <c r="V120" s="33">
        <v>0.29875351829513463</v>
      </c>
      <c r="W120" s="33">
        <v>1.1258544431041415E-2</v>
      </c>
      <c r="X120" s="33">
        <v>0.41495778045838355</v>
      </c>
      <c r="Y120" s="33">
        <v>0.50987066031313821</v>
      </c>
      <c r="Z120" s="33">
        <v>2.4506466984343053E-2</v>
      </c>
      <c r="AA120" s="33">
        <v>0.12321307011572498</v>
      </c>
      <c r="AB120" s="33">
        <v>0.23893805309734514</v>
      </c>
      <c r="AC120" s="33">
        <v>0.10347174948944858</v>
      </c>
    </row>
    <row r="121" spans="1:29" x14ac:dyDescent="0.35">
      <c r="A121" s="41">
        <v>2038</v>
      </c>
      <c r="B121" s="33">
        <v>1.7054984249493865E-2</v>
      </c>
      <c r="C121" s="33">
        <v>9.7543505748386578E-3</v>
      </c>
      <c r="D121" s="33">
        <v>0.95730713852405691</v>
      </c>
      <c r="E121" s="33">
        <v>6.8211751120076589E-3</v>
      </c>
      <c r="F121" s="33">
        <v>9.0623515396028396E-3</v>
      </c>
      <c r="G121" s="33">
        <v>0.18937595979338265</v>
      </c>
      <c r="H121" s="33">
        <v>0.76319279631439496</v>
      </c>
      <c r="I121" s="33">
        <v>4.7431243892223918E-2</v>
      </c>
      <c r="J121" s="33">
        <v>0.27745559300938522</v>
      </c>
      <c r="K121" s="33">
        <v>0.62547886761865201</v>
      </c>
      <c r="L121" s="33">
        <v>7.3889416254864351E-2</v>
      </c>
      <c r="M121" s="33">
        <v>2.3176123117098418E-2</v>
      </c>
      <c r="N121" s="33">
        <v>0.40203131612357179</v>
      </c>
      <c r="O121" s="33">
        <v>0.11383834109183248</v>
      </c>
      <c r="P121" s="33">
        <v>5.4591620820990262E-2</v>
      </c>
      <c r="Q121" s="33">
        <v>5.7553956834532384E-2</v>
      </c>
      <c r="R121" s="33">
        <v>0.3254337706305544</v>
      </c>
      <c r="S121" s="33">
        <v>4.6550994498518745E-2</v>
      </c>
      <c r="T121" s="33">
        <v>0.22597507036590264</v>
      </c>
      <c r="U121" s="33">
        <v>4.9055086449537683E-2</v>
      </c>
      <c r="V121" s="33">
        <v>0.29875351829513463</v>
      </c>
      <c r="W121" s="33">
        <v>1.1258544431041415E-2</v>
      </c>
      <c r="X121" s="33">
        <v>0.41495778045838355</v>
      </c>
      <c r="Y121" s="33">
        <v>0.50987066031313821</v>
      </c>
      <c r="Z121" s="33">
        <v>2.4506466984343053E-2</v>
      </c>
      <c r="AA121" s="33">
        <v>0.12321307011572498</v>
      </c>
      <c r="AB121" s="33">
        <v>0.23893805309734514</v>
      </c>
      <c r="AC121" s="33">
        <v>0.10347174948944858</v>
      </c>
    </row>
    <row r="122" spans="1:29" x14ac:dyDescent="0.35">
      <c r="A122" s="41">
        <v>2039</v>
      </c>
      <c r="B122" s="33">
        <v>1.7054984249493865E-2</v>
      </c>
      <c r="C122" s="33">
        <v>9.7543505748386578E-3</v>
      </c>
      <c r="D122" s="33">
        <v>0.95730713852405691</v>
      </c>
      <c r="E122" s="33">
        <v>6.8211751120076589E-3</v>
      </c>
      <c r="F122" s="33">
        <v>9.0623515396028396E-3</v>
      </c>
      <c r="G122" s="33">
        <v>0.18937595979338265</v>
      </c>
      <c r="H122" s="33">
        <v>0.76319279631439496</v>
      </c>
      <c r="I122" s="33">
        <v>4.7431243892223918E-2</v>
      </c>
      <c r="J122" s="33">
        <v>0.33432043268556166</v>
      </c>
      <c r="K122" s="33">
        <v>0.57037376200136225</v>
      </c>
      <c r="L122" s="33">
        <v>6.7379709376635094E-2</v>
      </c>
      <c r="M122" s="33">
        <v>2.7926095936440899E-2</v>
      </c>
      <c r="N122" s="33">
        <v>0.40203131612357179</v>
      </c>
      <c r="O122" s="33">
        <v>0.11383834109183248</v>
      </c>
      <c r="P122" s="33">
        <v>5.4591620820990262E-2</v>
      </c>
      <c r="Q122" s="33">
        <v>5.7553956834532384E-2</v>
      </c>
      <c r="R122" s="33">
        <v>0.3254337706305544</v>
      </c>
      <c r="S122" s="33">
        <v>4.6550994498518745E-2</v>
      </c>
      <c r="T122" s="33">
        <v>0.22597507036590264</v>
      </c>
      <c r="U122" s="33">
        <v>4.9055086449537683E-2</v>
      </c>
      <c r="V122" s="33">
        <v>0.29875351829513463</v>
      </c>
      <c r="W122" s="33">
        <v>1.1258544431041415E-2</v>
      </c>
      <c r="X122" s="33">
        <v>0.41495778045838355</v>
      </c>
      <c r="Y122" s="33">
        <v>0.50987066031313821</v>
      </c>
      <c r="Z122" s="33">
        <v>2.4506466984343053E-2</v>
      </c>
      <c r="AA122" s="33">
        <v>0.12321307011572498</v>
      </c>
      <c r="AB122" s="33">
        <v>0.23893805309734514</v>
      </c>
      <c r="AC122" s="33">
        <v>0.10347174948944858</v>
      </c>
    </row>
    <row r="123" spans="1:29" x14ac:dyDescent="0.35">
      <c r="A123" s="41">
        <v>2040</v>
      </c>
      <c r="B123" s="33">
        <v>1.7054984249493865E-2</v>
      </c>
      <c r="C123" s="33">
        <v>9.7543505748386578E-3</v>
      </c>
      <c r="D123" s="33">
        <v>0.95730713852405691</v>
      </c>
      <c r="E123" s="33">
        <v>6.8211751120076589E-3</v>
      </c>
      <c r="F123" s="33">
        <v>9.0623515396028396E-3</v>
      </c>
      <c r="G123" s="33">
        <v>0.18937595979338265</v>
      </c>
      <c r="H123" s="33">
        <v>0.76319279631439596</v>
      </c>
      <c r="I123" s="33">
        <v>4.7431243892223918E-2</v>
      </c>
      <c r="J123" s="33">
        <v>0.3935505784026852</v>
      </c>
      <c r="K123" s="33">
        <v>0.51297654688467287</v>
      </c>
      <c r="L123" s="33">
        <v>6.0599229748644248E-2</v>
      </c>
      <c r="M123" s="33">
        <v>3.2873644963997528E-2</v>
      </c>
      <c r="N123" s="33">
        <v>0.40203131612357179</v>
      </c>
      <c r="O123" s="33">
        <v>0.11383834109183248</v>
      </c>
      <c r="P123" s="33">
        <v>5.4591620820990262E-2</v>
      </c>
      <c r="Q123" s="33">
        <v>5.7553956834532384E-2</v>
      </c>
      <c r="R123" s="33">
        <v>0.3254337706305544</v>
      </c>
      <c r="S123" s="33">
        <v>4.6550994498518745E-2</v>
      </c>
      <c r="T123" s="33">
        <v>0.22597507036590264</v>
      </c>
      <c r="U123" s="33">
        <v>4.9055086449537683E-2</v>
      </c>
      <c r="V123" s="33">
        <v>0.29875351829513463</v>
      </c>
      <c r="W123" s="33">
        <v>1.1258544431041415E-2</v>
      </c>
      <c r="X123" s="33">
        <v>0.41495778045838355</v>
      </c>
      <c r="Y123" s="33">
        <v>0.50987066031313821</v>
      </c>
      <c r="Z123" s="33">
        <v>2.4506466984343053E-2</v>
      </c>
      <c r="AA123" s="33">
        <v>0.12321307011572498</v>
      </c>
      <c r="AB123" s="33">
        <v>0.23893805309734514</v>
      </c>
      <c r="AC123" s="33">
        <v>0.10347174948944858</v>
      </c>
    </row>
    <row r="124" spans="1:29" x14ac:dyDescent="0.35">
      <c r="A124" s="41">
        <v>2041</v>
      </c>
      <c r="B124" s="33">
        <v>1.7054984249493865E-2</v>
      </c>
      <c r="C124" s="33">
        <v>9.7543505748386578E-3</v>
      </c>
      <c r="D124" s="33">
        <v>0.95730713852405691</v>
      </c>
      <c r="E124" s="33">
        <v>6.8211751120076589E-3</v>
      </c>
      <c r="F124" s="33">
        <v>9.0623515396028396E-3</v>
      </c>
      <c r="G124" s="33">
        <v>0.18937595979338265</v>
      </c>
      <c r="H124" s="33">
        <v>0.76319279631439596</v>
      </c>
      <c r="I124" s="33">
        <v>4.7431243892223918E-2</v>
      </c>
      <c r="J124" s="33">
        <v>0.46102958135196076</v>
      </c>
      <c r="K124" s="33">
        <v>0.44758574290730629</v>
      </c>
      <c r="L124" s="33">
        <v>5.2874447050998086E-2</v>
      </c>
      <c r="M124" s="33">
        <v>3.85102286897347E-2</v>
      </c>
      <c r="N124" s="33">
        <v>0.40203131612357179</v>
      </c>
      <c r="O124" s="33">
        <v>0.11383834109183248</v>
      </c>
      <c r="P124" s="33">
        <v>5.4591620820990262E-2</v>
      </c>
      <c r="Q124" s="33">
        <v>5.7553956834532384E-2</v>
      </c>
      <c r="R124" s="33">
        <v>0.3254337706305544</v>
      </c>
      <c r="S124" s="33">
        <v>4.6550994498518745E-2</v>
      </c>
      <c r="T124" s="33">
        <v>0.22597507036590264</v>
      </c>
      <c r="U124" s="33">
        <v>4.9055086449537683E-2</v>
      </c>
      <c r="V124" s="33">
        <v>0.29875351829513463</v>
      </c>
      <c r="W124" s="33">
        <v>1.1258544431041415E-2</v>
      </c>
      <c r="X124" s="33">
        <v>0.41495778045838355</v>
      </c>
      <c r="Y124" s="33">
        <v>0.50987066031313821</v>
      </c>
      <c r="Z124" s="33">
        <v>2.4506466984343053E-2</v>
      </c>
      <c r="AA124" s="33">
        <v>0.12321307011572498</v>
      </c>
      <c r="AB124" s="33">
        <v>0.23893805309734514</v>
      </c>
      <c r="AC124" s="33">
        <v>0.10347174948944858</v>
      </c>
    </row>
    <row r="125" spans="1:29" x14ac:dyDescent="0.35">
      <c r="A125" s="41">
        <v>2042</v>
      </c>
      <c r="B125" s="33">
        <v>1.7054984249493865E-2</v>
      </c>
      <c r="C125" s="33">
        <v>9.7543505748386578E-3</v>
      </c>
      <c r="D125" s="33">
        <v>0.95730713852405691</v>
      </c>
      <c r="E125" s="33">
        <v>6.8211751120076589E-3</v>
      </c>
      <c r="F125" s="33">
        <v>9.0623515396028396E-3</v>
      </c>
      <c r="G125" s="33">
        <v>0.18937595979338265</v>
      </c>
      <c r="H125" s="33">
        <v>0.76319279631439596</v>
      </c>
      <c r="I125" s="33">
        <v>4.7431243892223918E-2</v>
      </c>
      <c r="J125" s="33">
        <v>0.52850858430123626</v>
      </c>
      <c r="K125" s="33">
        <v>0.38219493892993978</v>
      </c>
      <c r="L125" s="33">
        <v>4.5149664353351923E-2</v>
      </c>
      <c r="M125" s="33">
        <v>4.4146812415471873E-2</v>
      </c>
      <c r="N125" s="33">
        <v>0.40203131612357179</v>
      </c>
      <c r="O125" s="33">
        <v>0.11383834109183248</v>
      </c>
      <c r="P125" s="33">
        <v>5.4591620820990262E-2</v>
      </c>
      <c r="Q125" s="33">
        <v>5.7553956834532384E-2</v>
      </c>
      <c r="R125" s="33">
        <v>0.3254337706305544</v>
      </c>
      <c r="S125" s="33">
        <v>4.6550994498518745E-2</v>
      </c>
      <c r="T125" s="33">
        <v>0.22597507036590264</v>
      </c>
      <c r="U125" s="33">
        <v>4.9055086449537683E-2</v>
      </c>
      <c r="V125" s="33">
        <v>0.29875351829513463</v>
      </c>
      <c r="W125" s="33">
        <v>1.1258544431041415E-2</v>
      </c>
      <c r="X125" s="33">
        <v>0.41495778045838355</v>
      </c>
      <c r="Y125" s="33">
        <v>0.50987066031313821</v>
      </c>
      <c r="Z125" s="33">
        <v>2.4506466984343053E-2</v>
      </c>
      <c r="AA125" s="33">
        <v>0.12321307011572498</v>
      </c>
      <c r="AB125" s="33">
        <v>0.23893805309734514</v>
      </c>
      <c r="AC125" s="33">
        <v>0.10347174948944858</v>
      </c>
    </row>
    <row r="126" spans="1:29" x14ac:dyDescent="0.35">
      <c r="A126" s="41">
        <v>2043</v>
      </c>
      <c r="B126" s="33">
        <v>1.7054984249493865E-2</v>
      </c>
      <c r="C126" s="33">
        <v>9.7543505748386578E-3</v>
      </c>
      <c r="D126" s="33">
        <v>0.95730713852405691</v>
      </c>
      <c r="E126" s="33">
        <v>6.8211751120076589E-3</v>
      </c>
      <c r="F126" s="33">
        <v>9.0623515396028396E-3</v>
      </c>
      <c r="G126" s="33">
        <v>0.18937595979338265</v>
      </c>
      <c r="H126" s="33">
        <v>0.76319279631439596</v>
      </c>
      <c r="I126" s="33">
        <v>4.7431243892223918E-2</v>
      </c>
      <c r="J126" s="33">
        <v>0.59598758725051193</v>
      </c>
      <c r="K126" s="33">
        <v>0.3168041349525732</v>
      </c>
      <c r="L126" s="33">
        <v>3.7424881655705761E-2</v>
      </c>
      <c r="M126" s="33">
        <v>4.9783396141209045E-2</v>
      </c>
      <c r="N126" s="33">
        <v>0.40203131612357179</v>
      </c>
      <c r="O126" s="33">
        <v>0.11383834109183248</v>
      </c>
      <c r="P126" s="33">
        <v>5.4591620820990262E-2</v>
      </c>
      <c r="Q126" s="33">
        <v>5.7553956834532384E-2</v>
      </c>
      <c r="R126" s="33">
        <v>0.3254337706305544</v>
      </c>
      <c r="S126" s="33">
        <v>4.6550994498518745E-2</v>
      </c>
      <c r="T126" s="33">
        <v>0.22597507036590264</v>
      </c>
      <c r="U126" s="33">
        <v>4.9055086449537683E-2</v>
      </c>
      <c r="V126" s="33">
        <v>0.29875351829513463</v>
      </c>
      <c r="W126" s="33">
        <v>1.1258544431041415E-2</v>
      </c>
      <c r="X126" s="33">
        <v>0.41495778045838355</v>
      </c>
      <c r="Y126" s="33">
        <v>0.50987066031313821</v>
      </c>
      <c r="Z126" s="33">
        <v>2.4506466984343053E-2</v>
      </c>
      <c r="AA126" s="33">
        <v>0.12321307011572498</v>
      </c>
      <c r="AB126" s="33">
        <v>0.23893805309734514</v>
      </c>
      <c r="AC126" s="33">
        <v>0.10347174948944858</v>
      </c>
    </row>
    <row r="127" spans="1:29" x14ac:dyDescent="0.35">
      <c r="A127" s="41">
        <v>2044</v>
      </c>
      <c r="B127" s="33">
        <v>1.7054984249493865E-2</v>
      </c>
      <c r="C127" s="33">
        <v>9.7543505748386578E-3</v>
      </c>
      <c r="D127" s="33">
        <v>0.95730713852405691</v>
      </c>
      <c r="E127" s="33">
        <v>6.8211751120076589E-3</v>
      </c>
      <c r="F127" s="33">
        <v>9.0623515396028396E-3</v>
      </c>
      <c r="G127" s="33">
        <v>0.18937595979338265</v>
      </c>
      <c r="H127" s="33">
        <v>0.76319279631439596</v>
      </c>
      <c r="I127" s="33">
        <v>4.7431243892223918E-2</v>
      </c>
      <c r="J127" s="33">
        <v>0.66346659019978738</v>
      </c>
      <c r="K127" s="33">
        <v>0.25141333097520663</v>
      </c>
      <c r="L127" s="33">
        <v>2.9700098958059609E-2</v>
      </c>
      <c r="M127" s="33">
        <v>5.5419979866946217E-2</v>
      </c>
      <c r="N127" s="33">
        <v>0.40203131612357179</v>
      </c>
      <c r="O127" s="33">
        <v>0.11383834109183248</v>
      </c>
      <c r="P127" s="33">
        <v>5.4591620820990262E-2</v>
      </c>
      <c r="Q127" s="33">
        <v>5.7553956834532384E-2</v>
      </c>
      <c r="R127" s="33">
        <v>0.3254337706305544</v>
      </c>
      <c r="S127" s="33">
        <v>4.6550994498518745E-2</v>
      </c>
      <c r="T127" s="33">
        <v>0.22597507036590264</v>
      </c>
      <c r="U127" s="33">
        <v>4.9055086449537683E-2</v>
      </c>
      <c r="V127" s="33">
        <v>0.29875351829513463</v>
      </c>
      <c r="W127" s="33">
        <v>1.1258544431041415E-2</v>
      </c>
      <c r="X127" s="33">
        <v>0.41495778045838355</v>
      </c>
      <c r="Y127" s="33">
        <v>0.50987066031313821</v>
      </c>
      <c r="Z127" s="33">
        <v>2.4506466984343053E-2</v>
      </c>
      <c r="AA127" s="33">
        <v>0.12321307011572498</v>
      </c>
      <c r="AB127" s="33">
        <v>0.23893805309734514</v>
      </c>
      <c r="AC127" s="33">
        <v>0.10347174948944858</v>
      </c>
    </row>
    <row r="128" spans="1:29" x14ac:dyDescent="0.35">
      <c r="A128" s="41">
        <v>2045</v>
      </c>
      <c r="B128" s="33">
        <v>1.7054984249493865E-2</v>
      </c>
      <c r="C128" s="33">
        <v>9.7543505748386578E-3</v>
      </c>
      <c r="D128" s="33">
        <v>0.95730713852405691</v>
      </c>
      <c r="E128" s="33">
        <v>6.8211751120076589E-3</v>
      </c>
      <c r="F128" s="33">
        <v>9.0623515396028396E-3</v>
      </c>
      <c r="G128" s="33">
        <v>0.18937595979338265</v>
      </c>
      <c r="H128" s="33">
        <v>0.76319279631439596</v>
      </c>
      <c r="I128" s="33">
        <v>4.7431243892223918E-2</v>
      </c>
      <c r="J128" s="33">
        <v>0.73094559314906271</v>
      </c>
      <c r="K128" s="33">
        <v>0.18602252699784019</v>
      </c>
      <c r="L128" s="33">
        <v>2.197531626041346E-2</v>
      </c>
      <c r="M128" s="33">
        <v>6.1056563592683383E-2</v>
      </c>
      <c r="N128" s="33">
        <v>0.40203131612357179</v>
      </c>
      <c r="O128" s="33">
        <v>0.11383834109183248</v>
      </c>
      <c r="P128" s="33">
        <v>5.4591620820990262E-2</v>
      </c>
      <c r="Q128" s="33">
        <v>5.7553956834532384E-2</v>
      </c>
      <c r="R128" s="33">
        <v>0.3254337706305544</v>
      </c>
      <c r="S128" s="33">
        <v>4.6550994498518745E-2</v>
      </c>
      <c r="T128" s="33">
        <v>0.22597507036590264</v>
      </c>
      <c r="U128" s="33">
        <v>4.9055086449537683E-2</v>
      </c>
      <c r="V128" s="33">
        <v>0.29875351829513463</v>
      </c>
      <c r="W128" s="33">
        <v>1.1258544431041415E-2</v>
      </c>
      <c r="X128" s="33">
        <v>0.41495778045838355</v>
      </c>
      <c r="Y128" s="33">
        <v>0.50987066031313821</v>
      </c>
      <c r="Z128" s="33">
        <v>2.4506466984343053E-2</v>
      </c>
      <c r="AA128" s="33">
        <v>0.12321307011572498</v>
      </c>
      <c r="AB128" s="33">
        <v>0.23893805309734514</v>
      </c>
      <c r="AC128" s="33">
        <v>0.10347174948944858</v>
      </c>
    </row>
  </sheetData>
  <mergeCells count="9">
    <mergeCell ref="B3:L4"/>
    <mergeCell ref="M3:V4"/>
    <mergeCell ref="W3:AA4"/>
    <mergeCell ref="B100:F100"/>
    <mergeCell ref="G100:I100"/>
    <mergeCell ref="N100:S100"/>
    <mergeCell ref="T100:X100"/>
    <mergeCell ref="Y100:AC100"/>
    <mergeCell ref="J100:M100"/>
  </mergeCells>
  <phoneticPr fontId="6" type="noConversion"/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2F1D-2E3B-43CE-B6E3-01E9B213697A}">
  <dimension ref="A1:CR144"/>
  <sheetViews>
    <sheetView topLeftCell="A111" zoomScale="77" zoomScaleNormal="85" workbookViewId="0">
      <pane xSplit="1" topLeftCell="B1" activePane="topRight" state="frozen"/>
      <selection activeCell="J108" sqref="J108"/>
      <selection pane="topRight" activeCell="B114" sqref="B114:AD144"/>
    </sheetView>
  </sheetViews>
  <sheetFormatPr defaultRowHeight="14.5" x14ac:dyDescent="0.35"/>
  <cols>
    <col min="1" max="1" width="41.6328125" bestFit="1" customWidth="1"/>
    <col min="2" max="2" width="15.6328125" bestFit="1" customWidth="1"/>
    <col min="3" max="3" width="14.90625" bestFit="1" customWidth="1"/>
    <col min="4" max="4" width="12.6328125" bestFit="1" customWidth="1"/>
    <col min="5" max="5" width="16.36328125" bestFit="1" customWidth="1"/>
    <col min="6" max="6" width="13.36328125" bestFit="1" customWidth="1"/>
    <col min="7" max="7" width="15.6328125" bestFit="1" customWidth="1"/>
    <col min="8" max="8" width="12.6328125" bestFit="1" customWidth="1"/>
    <col min="9" max="9" width="12.453125" bestFit="1" customWidth="1"/>
    <col min="10" max="10" width="15.6328125" bestFit="1" customWidth="1"/>
    <col min="11" max="11" width="15.08984375" bestFit="1" customWidth="1"/>
    <col min="12" max="12" width="12.6328125" bestFit="1" customWidth="1"/>
    <col min="13" max="14" width="12.453125" bestFit="1" customWidth="1"/>
    <col min="15" max="15" width="15.6328125" bestFit="1" customWidth="1"/>
    <col min="16" max="16" width="13.36328125" bestFit="1" customWidth="1"/>
    <col min="17" max="17" width="12.6328125" bestFit="1" customWidth="1"/>
    <col min="18" max="18" width="16.36328125" bestFit="1" customWidth="1"/>
    <col min="19" max="19" width="12.453125" bestFit="1" customWidth="1"/>
    <col min="20" max="20" width="14.90625" bestFit="1" customWidth="1"/>
    <col min="21" max="21" width="15.6328125" bestFit="1" customWidth="1"/>
    <col min="22" max="22" width="12.453125" bestFit="1" customWidth="1"/>
    <col min="23" max="23" width="14.90625" bestFit="1" customWidth="1"/>
    <col min="24" max="24" width="12.6328125" bestFit="1" customWidth="1"/>
    <col min="25" max="25" width="12.453125" bestFit="1" customWidth="1"/>
    <col min="26" max="26" width="15.6328125" bestFit="1" customWidth="1"/>
    <col min="27" max="27" width="12.453125" bestFit="1" customWidth="1"/>
    <col min="28" max="28" width="12.6328125" bestFit="1" customWidth="1"/>
    <col min="29" max="29" width="12.453125" bestFit="1" customWidth="1"/>
    <col min="30" max="30" width="14.90625" bestFit="1" customWidth="1"/>
    <col min="56" max="56" width="11.54296875" bestFit="1" customWidth="1"/>
    <col min="65" max="65" width="45.36328125" bestFit="1" customWidth="1"/>
  </cols>
  <sheetData>
    <row r="1" spans="1:63" ht="20" thickBot="1" x14ac:dyDescent="0.5">
      <c r="A1" s="58" t="s">
        <v>159</v>
      </c>
    </row>
    <row r="2" spans="1:63" ht="15" thickTop="1" x14ac:dyDescent="0.35">
      <c r="A2" t="s">
        <v>122</v>
      </c>
    </row>
    <row r="3" spans="1:63" x14ac:dyDescent="0.35">
      <c r="A3" t="s">
        <v>123</v>
      </c>
    </row>
    <row r="4" spans="1:63" x14ac:dyDescent="0.35">
      <c r="A4" t="s">
        <v>124</v>
      </c>
    </row>
    <row r="5" spans="1:63" x14ac:dyDescent="0.35">
      <c r="A5" t="s">
        <v>125</v>
      </c>
    </row>
    <row r="7" spans="1:63" x14ac:dyDescent="0.35">
      <c r="A7" s="125" t="s">
        <v>52</v>
      </c>
      <c r="B7" s="118" t="s">
        <v>16</v>
      </c>
      <c r="C7" s="118" t="s">
        <v>17</v>
      </c>
      <c r="D7" s="118" t="s">
        <v>18</v>
      </c>
      <c r="E7" s="118" t="s">
        <v>19</v>
      </c>
      <c r="F7" s="118" t="s">
        <v>20</v>
      </c>
      <c r="G7" s="118" t="s">
        <v>21</v>
      </c>
      <c r="H7" s="118" t="s">
        <v>22</v>
      </c>
      <c r="I7" s="118" t="s">
        <v>23</v>
      </c>
      <c r="J7" s="118" t="s">
        <v>24</v>
      </c>
      <c r="K7" s="118" t="s">
        <v>25</v>
      </c>
      <c r="L7" s="118" t="s">
        <v>26</v>
      </c>
      <c r="M7" s="118" t="s">
        <v>37</v>
      </c>
      <c r="N7" s="118" t="s">
        <v>54</v>
      </c>
      <c r="O7" s="118" t="s">
        <v>55</v>
      </c>
      <c r="P7" s="118" t="s">
        <v>56</v>
      </c>
      <c r="Q7" s="118" t="s">
        <v>57</v>
      </c>
      <c r="R7" s="118" t="s">
        <v>58</v>
      </c>
      <c r="S7" s="118" t="s">
        <v>59</v>
      </c>
      <c r="T7" s="118" t="s">
        <v>60</v>
      </c>
      <c r="U7" s="118" t="s">
        <v>61</v>
      </c>
      <c r="V7" s="118" t="s">
        <v>62</v>
      </c>
      <c r="W7" s="118" t="s">
        <v>85</v>
      </c>
      <c r="X7" s="118" t="s">
        <v>86</v>
      </c>
      <c r="Y7" s="118" t="s">
        <v>87</v>
      </c>
      <c r="Z7" s="118" t="s">
        <v>88</v>
      </c>
      <c r="AA7" s="118" t="s">
        <v>89</v>
      </c>
      <c r="AB7" s="118" t="s">
        <v>126</v>
      </c>
      <c r="AC7" s="118" t="s">
        <v>127</v>
      </c>
      <c r="AD7" s="118" t="s">
        <v>128</v>
      </c>
      <c r="AE7" s="118" t="s">
        <v>129</v>
      </c>
      <c r="AF7" s="118" t="s">
        <v>118</v>
      </c>
      <c r="AG7" s="118" t="s">
        <v>38</v>
      </c>
      <c r="AH7" s="118" t="s">
        <v>40</v>
      </c>
      <c r="AI7" s="119" t="s">
        <v>41</v>
      </c>
      <c r="AJ7" s="118" t="s">
        <v>42</v>
      </c>
      <c r="AK7" s="118" t="s">
        <v>43</v>
      </c>
      <c r="AL7" s="118" t="s">
        <v>44</v>
      </c>
      <c r="AM7" s="118" t="s">
        <v>45</v>
      </c>
      <c r="AN7" s="118" t="s">
        <v>46</v>
      </c>
      <c r="AO7" s="118" t="s">
        <v>47</v>
      </c>
      <c r="AP7" s="118" t="s">
        <v>48</v>
      </c>
      <c r="AQ7" s="118" t="s">
        <v>39</v>
      </c>
      <c r="AR7" s="119" t="s">
        <v>90</v>
      </c>
      <c r="AS7" s="119" t="s">
        <v>91</v>
      </c>
      <c r="AT7" s="119" t="s">
        <v>92</v>
      </c>
      <c r="AU7" s="119" t="s">
        <v>93</v>
      </c>
      <c r="AV7" s="119" t="s">
        <v>94</v>
      </c>
      <c r="AW7" s="119" t="s">
        <v>95</v>
      </c>
      <c r="AX7" s="119" t="s">
        <v>96</v>
      </c>
      <c r="AY7" s="119" t="s">
        <v>97</v>
      </c>
      <c r="AZ7" s="119" t="s">
        <v>98</v>
      </c>
      <c r="BA7" s="119" t="s">
        <v>99</v>
      </c>
      <c r="BB7" s="119" t="s">
        <v>100</v>
      </c>
      <c r="BC7" s="119" t="s">
        <v>101</v>
      </c>
      <c r="BD7" s="119" t="s">
        <v>102</v>
      </c>
      <c r="BE7" s="119" t="s">
        <v>103</v>
      </c>
      <c r="BF7" s="120" t="s">
        <v>104</v>
      </c>
      <c r="BG7" s="120">
        <v>20.46</v>
      </c>
      <c r="BH7" s="120">
        <v>20.47</v>
      </c>
      <c r="BI7" s="120">
        <v>20.48</v>
      </c>
      <c r="BJ7" s="120">
        <v>20.49</v>
      </c>
      <c r="BK7" s="120">
        <v>20.5</v>
      </c>
    </row>
    <row r="8" spans="1:63" x14ac:dyDescent="0.35">
      <c r="A8" s="126" t="s">
        <v>4</v>
      </c>
      <c r="B8" s="127">
        <f>'Initial demand info'!F9</f>
        <v>356529.17533000006</v>
      </c>
      <c r="C8" s="128">
        <f>B8+($G8-$B8)/5</f>
        <v>354089.40575045662</v>
      </c>
      <c r="D8" s="128">
        <f t="shared" ref="D8:F8" si="0">C8+($G8-$B8)/5</f>
        <v>351649.63617091317</v>
      </c>
      <c r="E8" s="128">
        <f t="shared" si="0"/>
        <v>349209.86659136973</v>
      </c>
      <c r="F8" s="128">
        <f t="shared" si="0"/>
        <v>346770.09701182629</v>
      </c>
      <c r="G8" s="127">
        <f>'Initial demand info'!K33</f>
        <v>344330.32743228285</v>
      </c>
      <c r="H8" s="128">
        <f>G8+($L8-$G8)/5</f>
        <v>339718.28746985708</v>
      </c>
      <c r="I8" s="128">
        <f t="shared" ref="I8:K8" si="1">H8+($L8-$G8)/5</f>
        <v>335106.24750743131</v>
      </c>
      <c r="J8" s="128">
        <f t="shared" si="1"/>
        <v>330494.20754500554</v>
      </c>
      <c r="K8" s="128">
        <f t="shared" si="1"/>
        <v>325882.16758257977</v>
      </c>
      <c r="L8" s="127">
        <f>'Initial demand info'!L33</f>
        <v>321270.12762015389</v>
      </c>
      <c r="M8" s="128">
        <f>L8+($Q8-$L8)/5</f>
        <v>319038.39765113703</v>
      </c>
      <c r="N8" s="128">
        <f t="shared" ref="N8:P8" si="2">M8+($Q8-$L8)/5</f>
        <v>316806.66768212017</v>
      </c>
      <c r="O8" s="128">
        <f t="shared" si="2"/>
        <v>314574.93771310331</v>
      </c>
      <c r="P8" s="128">
        <f t="shared" si="2"/>
        <v>312343.20774408645</v>
      </c>
      <c r="Q8" s="127">
        <f>'Initial demand info'!M33</f>
        <v>310111.47777506959</v>
      </c>
      <c r="R8" s="128">
        <f>Q8+($V8-$Q8)/5</f>
        <v>307655.50678473111</v>
      </c>
      <c r="S8" s="128">
        <f t="shared" ref="S8:T8" si="3">R8+($V8-$Q8)/5</f>
        <v>305199.53579439264</v>
      </c>
      <c r="T8" s="128">
        <f t="shared" si="3"/>
        <v>302743.56480405416</v>
      </c>
      <c r="U8" s="128">
        <f>T8+($V8-$Q8)/5</f>
        <v>300287.59381371568</v>
      </c>
      <c r="V8" s="127">
        <f>'Initial demand info'!N33</f>
        <v>297831.6228233772</v>
      </c>
      <c r="W8" s="128">
        <f>V8+($AA8-$V8)/5</f>
        <v>295253.191391712</v>
      </c>
      <c r="X8" s="128">
        <f t="shared" ref="X8:Z8" si="4">W8+($AA8-$V8)/5</f>
        <v>292674.75996004679</v>
      </c>
      <c r="Y8" s="128">
        <f t="shared" si="4"/>
        <v>290096.32852838159</v>
      </c>
      <c r="Z8" s="128">
        <f t="shared" si="4"/>
        <v>287517.89709671639</v>
      </c>
      <c r="AA8" s="127">
        <f>'Initial demand info'!O33</f>
        <v>284939.46566505113</v>
      </c>
      <c r="AB8" s="128">
        <f>AA8+($AF8-$AA8)/5</f>
        <v>282321.84974926914</v>
      </c>
      <c r="AC8" s="128">
        <f t="shared" ref="AC8:AE8" si="5">AB8+($AF8-$AA8)/5</f>
        <v>279704.23383348715</v>
      </c>
      <c r="AD8" s="128">
        <f t="shared" si="5"/>
        <v>277086.61791770515</v>
      </c>
      <c r="AE8" s="128">
        <f t="shared" si="5"/>
        <v>274469.00200192316</v>
      </c>
      <c r="AF8" s="127">
        <f>'Initial demand info'!P33</f>
        <v>271851.38608614117</v>
      </c>
      <c r="AG8" s="66">
        <v>1.0000000000000002</v>
      </c>
      <c r="AH8" s="66">
        <v>1.0000000000000002</v>
      </c>
      <c r="AI8" s="66">
        <v>1.0000000000000002</v>
      </c>
      <c r="AJ8" s="66">
        <v>1.0000000000000004</v>
      </c>
      <c r="AK8" s="66">
        <v>1.0000000000000004</v>
      </c>
      <c r="AL8" s="66">
        <v>1</v>
      </c>
      <c r="AM8" s="66">
        <v>1</v>
      </c>
      <c r="AN8" s="66">
        <v>1.0000000000000002</v>
      </c>
      <c r="AO8" s="66">
        <v>1.0000000000000002</v>
      </c>
      <c r="AP8" s="66">
        <v>1.0000000000000004</v>
      </c>
      <c r="AQ8" s="66">
        <v>0.99999999999999989</v>
      </c>
      <c r="AR8" s="66">
        <v>0.99999999999999989</v>
      </c>
      <c r="AS8" s="66">
        <v>0.99999999999999989</v>
      </c>
      <c r="AT8" s="66">
        <v>0.99999999999999989</v>
      </c>
      <c r="AU8" s="66">
        <v>0.99999999999999989</v>
      </c>
      <c r="AV8" s="66">
        <v>0.99999999999999989</v>
      </c>
      <c r="AW8" s="66">
        <v>0.99999999999999989</v>
      </c>
      <c r="AX8" s="66">
        <v>0.99999999999999989</v>
      </c>
      <c r="AY8" s="66">
        <v>0.99999999999999989</v>
      </c>
      <c r="AZ8" s="66">
        <v>0.99999999999999989</v>
      </c>
      <c r="BA8" s="66">
        <v>0.99999999999999989</v>
      </c>
      <c r="BB8" s="66">
        <v>0.99999999999999989</v>
      </c>
      <c r="BC8" s="66">
        <v>0.99999999999999989</v>
      </c>
      <c r="BD8" s="66">
        <v>0.99999999999999989</v>
      </c>
      <c r="BE8" s="66">
        <v>0.99999999999999989</v>
      </c>
      <c r="BF8" s="68">
        <v>0.99999999999999989</v>
      </c>
      <c r="BG8" s="68">
        <v>0.99999999999999989</v>
      </c>
      <c r="BH8" s="68">
        <v>0.99999999999999989</v>
      </c>
      <c r="BI8" s="68">
        <v>0.99999999999999989</v>
      </c>
      <c r="BJ8" s="68">
        <v>0.99999999999999989</v>
      </c>
      <c r="BK8" s="68">
        <v>0.99999999999999989</v>
      </c>
    </row>
    <row r="9" spans="1:63" x14ac:dyDescent="0.35">
      <c r="A9" s="131" t="s">
        <v>13</v>
      </c>
      <c r="B9" s="132">
        <f>'Initial demand info'!F10</f>
        <v>73144.942790000001</v>
      </c>
      <c r="C9" s="128">
        <f t="shared" ref="C9:F9" si="6">B9+($G9-$B9)/5</f>
        <v>74080.566047702334</v>
      </c>
      <c r="D9" s="128">
        <f t="shared" si="6"/>
        <v>75016.189305404667</v>
      </c>
      <c r="E9" s="128">
        <f t="shared" si="6"/>
        <v>75951.812563107</v>
      </c>
      <c r="F9" s="128">
        <f t="shared" si="6"/>
        <v>76887.435820809333</v>
      </c>
      <c r="G9" s="133">
        <f>G$8*AL9</f>
        <v>77823.059078511666</v>
      </c>
      <c r="H9" s="133">
        <f t="shared" ref="H9:AF9" si="7">H$8*AM9</f>
        <v>81252.56573625993</v>
      </c>
      <c r="I9" s="133">
        <f t="shared" si="7"/>
        <v>84775.686049509677</v>
      </c>
      <c r="J9" s="133">
        <f t="shared" si="7"/>
        <v>88399.436214765432</v>
      </c>
      <c r="K9" s="133">
        <f t="shared" si="7"/>
        <v>92131.55153094721</v>
      </c>
      <c r="L9" s="133">
        <f t="shared" si="7"/>
        <v>95980.580949647876</v>
      </c>
      <c r="M9" s="133">
        <f t="shared" si="7"/>
        <v>95313.843769519401</v>
      </c>
      <c r="N9" s="133">
        <f t="shared" si="7"/>
        <v>94647.106589390925</v>
      </c>
      <c r="O9" s="133">
        <f t="shared" si="7"/>
        <v>93980.36940926245</v>
      </c>
      <c r="P9" s="133">
        <f t="shared" si="7"/>
        <v>93313.632229133975</v>
      </c>
      <c r="Q9" s="133">
        <f t="shared" si="7"/>
        <v>92646.895049005485</v>
      </c>
      <c r="R9" s="133">
        <f t="shared" si="7"/>
        <v>91913.165074811084</v>
      </c>
      <c r="S9" s="133">
        <f t="shared" si="7"/>
        <v>91179.435100616683</v>
      </c>
      <c r="T9" s="133">
        <f t="shared" si="7"/>
        <v>90445.705126422268</v>
      </c>
      <c r="U9" s="133">
        <f t="shared" si="7"/>
        <v>89711.975152227868</v>
      </c>
      <c r="V9" s="133">
        <f t="shared" si="7"/>
        <v>88978.245178033452</v>
      </c>
      <c r="W9" s="133">
        <f t="shared" si="7"/>
        <v>88207.929716140716</v>
      </c>
      <c r="X9" s="133">
        <f t="shared" si="7"/>
        <v>87437.614254247979</v>
      </c>
      <c r="Y9" s="133">
        <f t="shared" si="7"/>
        <v>86667.298792355243</v>
      </c>
      <c r="Z9" s="133">
        <f t="shared" si="7"/>
        <v>85896.983330462492</v>
      </c>
      <c r="AA9" s="133">
        <f t="shared" si="7"/>
        <v>85126.667868569741</v>
      </c>
      <c r="AB9" s="133">
        <f t="shared" si="7"/>
        <v>84344.645904184523</v>
      </c>
      <c r="AC9" s="133">
        <f t="shared" si="7"/>
        <v>83562.623939799319</v>
      </c>
      <c r="AD9" s="133">
        <f t="shared" si="7"/>
        <v>82780.601975414102</v>
      </c>
      <c r="AE9" s="133">
        <f t="shared" si="7"/>
        <v>81998.580011028898</v>
      </c>
      <c r="AF9" s="133">
        <f t="shared" si="7"/>
        <v>81216.55804664368</v>
      </c>
      <c r="AG9" s="161">
        <f>B9/B$8</f>
        <v>0.20515836529310044</v>
      </c>
      <c r="AH9" s="161">
        <f t="shared" ref="AH9:AK9" si="8">C9/C$8</f>
        <v>0.20921429685447968</v>
      </c>
      <c r="AI9" s="161">
        <f t="shared" si="8"/>
        <v>0.21332650908515188</v>
      </c>
      <c r="AJ9" s="161">
        <f t="shared" si="8"/>
        <v>0.21749618160698342</v>
      </c>
      <c r="AK9" s="161">
        <f t="shared" si="8"/>
        <v>0.22172452723969205</v>
      </c>
      <c r="AL9" s="64">
        <v>0.22601279317697223</v>
      </c>
      <c r="AM9" s="64">
        <v>0.23917630793858691</v>
      </c>
      <c r="AN9" s="64">
        <v>0.25298151460942159</v>
      </c>
      <c r="AO9" s="64">
        <v>0.26747650699060288</v>
      </c>
      <c r="AP9" s="64">
        <v>0.28271430810217846</v>
      </c>
      <c r="AQ9" s="64">
        <v>0.29875351829513463</v>
      </c>
      <c r="AR9" s="64">
        <v>0.29875351829513463</v>
      </c>
      <c r="AS9" s="64">
        <v>0.29875351829513463</v>
      </c>
      <c r="AT9" s="64">
        <v>0.29875351829513463</v>
      </c>
      <c r="AU9" s="64">
        <v>0.29875351829513463</v>
      </c>
      <c r="AV9" s="64">
        <v>0.29875351829513463</v>
      </c>
      <c r="AW9" s="64">
        <v>0.29875351829513463</v>
      </c>
      <c r="AX9" s="64">
        <v>0.29875351829513463</v>
      </c>
      <c r="AY9" s="64">
        <v>0.29875351829513463</v>
      </c>
      <c r="AZ9" s="64">
        <v>0.29875351829513463</v>
      </c>
      <c r="BA9" s="64">
        <v>0.29875351829513463</v>
      </c>
      <c r="BB9" s="64">
        <v>0.29875351829513463</v>
      </c>
      <c r="BC9" s="64">
        <v>0.29875351829513463</v>
      </c>
      <c r="BD9" s="64">
        <v>0.29875351829513463</v>
      </c>
      <c r="BE9" s="64">
        <v>0.29875351829513463</v>
      </c>
      <c r="BF9" s="67">
        <v>0.29875351829513463</v>
      </c>
      <c r="BG9" s="67">
        <v>0.29875351829513463</v>
      </c>
      <c r="BH9" s="67">
        <v>0.29875351829513463</v>
      </c>
      <c r="BI9" s="67">
        <v>0.29875351829513463</v>
      </c>
      <c r="BJ9" s="67">
        <v>0.29875351829513463</v>
      </c>
      <c r="BK9" s="67">
        <v>0.29875351829513463</v>
      </c>
    </row>
    <row r="10" spans="1:63" x14ac:dyDescent="0.35">
      <c r="A10" s="136" t="s">
        <v>12</v>
      </c>
      <c r="B10" s="127">
        <f>'Initial demand info'!F11</f>
        <v>10113.692230000001</v>
      </c>
      <c r="C10" s="128">
        <f t="shared" ref="C10:F10" si="9">B10+($G10-$B10)/5</f>
        <v>10880.837033984382</v>
      </c>
      <c r="D10" s="128">
        <f t="shared" si="9"/>
        <v>11647.981837968764</v>
      </c>
      <c r="E10" s="128">
        <f t="shared" si="9"/>
        <v>12415.126641953146</v>
      </c>
      <c r="F10" s="128">
        <f t="shared" si="9"/>
        <v>13182.271445937527</v>
      </c>
      <c r="G10" s="133">
        <f t="shared" ref="G10:G13" si="10">G$8*AL10</f>
        <v>13949.416249921911</v>
      </c>
      <c r="H10" s="133">
        <f t="shared" ref="H10:H13" si="11">H$8*AM10</f>
        <v>14287.795252679731</v>
      </c>
      <c r="I10" s="133">
        <f t="shared" ref="I10:I13" si="12">I$8*AN10</f>
        <v>14637.169129349653</v>
      </c>
      <c r="J10" s="133">
        <f t="shared" ref="J10:J13" si="13">J$8*AO10</f>
        <v>14998.361928469216</v>
      </c>
      <c r="K10" s="133">
        <f t="shared" ref="K10:K13" si="14">K$8*AP10</f>
        <v>15372.282156771145</v>
      </c>
      <c r="L10" s="133">
        <f t="shared" ref="L10:L13" si="15">L$8*AQ10</f>
        <v>15759.933884060652</v>
      </c>
      <c r="M10" s="133">
        <f t="shared" ref="M10:M13" si="16">M$8*AR10</f>
        <v>15650.456177498507</v>
      </c>
      <c r="N10" s="133">
        <f t="shared" ref="N10:N13" si="17">N$8*AS10</f>
        <v>15540.978470936361</v>
      </c>
      <c r="O10" s="133">
        <f t="shared" ref="O10:O13" si="18">O$8*AT10</f>
        <v>15431.500764374216</v>
      </c>
      <c r="P10" s="133">
        <f t="shared" ref="P10:P13" si="19">P$8*AU10</f>
        <v>15322.023057812068</v>
      </c>
      <c r="Q10" s="133">
        <f t="shared" ref="Q10:Q13" si="20">Q$8*AV10</f>
        <v>15212.545351249923</v>
      </c>
      <c r="R10" s="133">
        <f t="shared" ref="R10:R13" si="21">R$8*AW10</f>
        <v>15092.067482001312</v>
      </c>
      <c r="S10" s="133">
        <f t="shared" ref="S10:S13" si="22">S$8*AX10</f>
        <v>14971.589612752701</v>
      </c>
      <c r="T10" s="133">
        <f t="shared" ref="T10:T13" si="23">T$8*AY10</f>
        <v>14851.111743504091</v>
      </c>
      <c r="U10" s="133">
        <f t="shared" ref="U10:U13" si="24">U$8*AZ10</f>
        <v>14730.63387425548</v>
      </c>
      <c r="V10" s="133">
        <f t="shared" ref="V10:V13" si="25">V$8*BA10</f>
        <v>14610.156005006869</v>
      </c>
      <c r="W10" s="133">
        <f t="shared" ref="W10:W13" si="26">W$8*BB10</f>
        <v>14483.670828222326</v>
      </c>
      <c r="X10" s="133">
        <f t="shared" ref="X10:X13" si="27">X$8*BC10</f>
        <v>14357.185651437785</v>
      </c>
      <c r="Y10" s="133">
        <f t="shared" ref="Y10:Y13" si="28">Y$8*BD10</f>
        <v>14230.700474653244</v>
      </c>
      <c r="Z10" s="133">
        <f t="shared" ref="Z10:Z13" si="29">Z$8*BE10</f>
        <v>14104.215297868703</v>
      </c>
      <c r="AA10" s="133">
        <f t="shared" ref="AA10:AA13" si="30">AA$8*BF10</f>
        <v>13977.730121084158</v>
      </c>
      <c r="AB10" s="133">
        <f t="shared" ref="AB10:AB13" si="31">AB$8*BG10</f>
        <v>13849.322746043787</v>
      </c>
      <c r="AC10" s="133">
        <f t="shared" ref="AC10:AC13" si="32">AC$8*BH10</f>
        <v>13720.915371003415</v>
      </c>
      <c r="AD10" s="133">
        <f t="shared" ref="AD10:AD13" si="33">AD$8*BI10</f>
        <v>13592.507995963044</v>
      </c>
      <c r="AE10" s="133">
        <f t="shared" ref="AE10:AE13" si="34">AE$8*BJ10</f>
        <v>13464.100620922673</v>
      </c>
      <c r="AF10" s="133">
        <f t="shared" ref="AF10:AF13" si="35">AF$8*BK10</f>
        <v>13335.693245882301</v>
      </c>
      <c r="AG10" s="161">
        <f t="shared" ref="AG10:AG13" si="36">B10/B$8</f>
        <v>2.8367081657872353E-2</v>
      </c>
      <c r="AH10" s="161">
        <f t="shared" ref="AH10:AH13" si="37">C10/C$8</f>
        <v>3.0729066888978366E-2</v>
      </c>
      <c r="AI10" s="161">
        <f t="shared" ref="AI10:AI13" si="38">D10/D$8</f>
        <v>3.3123827354985418E-2</v>
      </c>
      <c r="AJ10" s="161">
        <f t="shared" ref="AJ10:AJ13" si="39">E10/E$8</f>
        <v>3.5552050012609721E-2</v>
      </c>
      <c r="AK10" s="161">
        <f t="shared" ref="AK10:AK13" si="40">F10/F$8</f>
        <v>3.8014441151446685E-2</v>
      </c>
      <c r="AL10" s="66">
        <v>4.0511727078891273E-2</v>
      </c>
      <c r="AM10" s="66">
        <v>4.2057774867205154E-2</v>
      </c>
      <c r="AN10" s="66">
        <v>4.3679189028026283E-2</v>
      </c>
      <c r="AO10" s="66">
        <v>4.5381618152647324E-2</v>
      </c>
      <c r="AP10" s="66">
        <v>4.7171289766494359E-2</v>
      </c>
      <c r="AQ10" s="66">
        <v>4.9055086449537683E-2</v>
      </c>
      <c r="AR10" s="66">
        <v>4.9055086449537683E-2</v>
      </c>
      <c r="AS10" s="66">
        <v>4.9055086449537683E-2</v>
      </c>
      <c r="AT10" s="66">
        <v>4.9055086449537683E-2</v>
      </c>
      <c r="AU10" s="66">
        <v>4.9055086449537683E-2</v>
      </c>
      <c r="AV10" s="66">
        <v>4.9055086449537683E-2</v>
      </c>
      <c r="AW10" s="66">
        <v>4.9055086449537683E-2</v>
      </c>
      <c r="AX10" s="66">
        <v>4.9055086449537683E-2</v>
      </c>
      <c r="AY10" s="66">
        <v>4.9055086449537683E-2</v>
      </c>
      <c r="AZ10" s="66">
        <v>4.9055086449537683E-2</v>
      </c>
      <c r="BA10" s="66">
        <v>4.9055086449537683E-2</v>
      </c>
      <c r="BB10" s="66">
        <v>4.9055086449537683E-2</v>
      </c>
      <c r="BC10" s="66">
        <v>4.9055086449537683E-2</v>
      </c>
      <c r="BD10" s="66">
        <v>4.9055086449537683E-2</v>
      </c>
      <c r="BE10" s="66">
        <v>4.9055086449537683E-2</v>
      </c>
      <c r="BF10" s="68">
        <v>4.9055086449537683E-2</v>
      </c>
      <c r="BG10" s="68">
        <v>4.9055086449537683E-2</v>
      </c>
      <c r="BH10" s="68">
        <v>4.9055086449537683E-2</v>
      </c>
      <c r="BI10" s="68">
        <v>4.9055086449537683E-2</v>
      </c>
      <c r="BJ10" s="68">
        <v>4.9055086449537683E-2</v>
      </c>
      <c r="BK10" s="68">
        <v>4.9055086449537683E-2</v>
      </c>
    </row>
    <row r="11" spans="1:63" x14ac:dyDescent="0.35">
      <c r="A11" s="131" t="s">
        <v>11</v>
      </c>
      <c r="B11" s="132">
        <f>'Initial demand info'!F12</f>
        <v>66211.648509999999</v>
      </c>
      <c r="C11" s="128">
        <f t="shared" ref="C11:F11" si="41">B11+($G11-$B11)/5</f>
        <v>67432.66091976114</v>
      </c>
      <c r="D11" s="128">
        <f t="shared" si="41"/>
        <v>68653.67332952228</v>
      </c>
      <c r="E11" s="128">
        <f t="shared" si="41"/>
        <v>69874.685739283421</v>
      </c>
      <c r="F11" s="128">
        <f t="shared" si="41"/>
        <v>71095.698149044561</v>
      </c>
      <c r="G11" s="133">
        <f t="shared" si="10"/>
        <v>72316.710558805673</v>
      </c>
      <c r="H11" s="133">
        <f t="shared" si="11"/>
        <v>72328.873545572424</v>
      </c>
      <c r="I11" s="133">
        <f t="shared" si="12"/>
        <v>72361.568204310403</v>
      </c>
      <c r="J11" s="133">
        <f t="shared" si="13"/>
        <v>72416.333351598718</v>
      </c>
      <c r="K11" s="133">
        <f t="shared" si="14"/>
        <v>72494.865520055144</v>
      </c>
      <c r="L11" s="133">
        <f t="shared" si="15"/>
        <v>72599.039695426793</v>
      </c>
      <c r="M11" s="133">
        <f t="shared" si="16"/>
        <v>72094.724358640524</v>
      </c>
      <c r="N11" s="133">
        <f t="shared" si="17"/>
        <v>71590.409021854241</v>
      </c>
      <c r="O11" s="133">
        <f t="shared" si="18"/>
        <v>71086.093685067957</v>
      </c>
      <c r="P11" s="133">
        <f t="shared" si="19"/>
        <v>70581.778348281689</v>
      </c>
      <c r="Q11" s="133">
        <f t="shared" si="20"/>
        <v>70077.463011495405</v>
      </c>
      <c r="R11" s="133">
        <f t="shared" si="21"/>
        <v>69522.474794137044</v>
      </c>
      <c r="S11" s="133">
        <f t="shared" si="22"/>
        <v>68967.486576778698</v>
      </c>
      <c r="T11" s="133">
        <f t="shared" si="23"/>
        <v>68412.498359420351</v>
      </c>
      <c r="U11" s="133">
        <f t="shared" si="24"/>
        <v>67857.51014206199</v>
      </c>
      <c r="V11" s="133">
        <f t="shared" si="25"/>
        <v>67302.521924703644</v>
      </c>
      <c r="W11" s="133">
        <f t="shared" si="26"/>
        <v>66719.860700499441</v>
      </c>
      <c r="X11" s="133">
        <f t="shared" si="27"/>
        <v>66137.199476295238</v>
      </c>
      <c r="Y11" s="133">
        <f t="shared" si="28"/>
        <v>65554.538252091035</v>
      </c>
      <c r="Z11" s="133">
        <f t="shared" si="29"/>
        <v>64971.87702788684</v>
      </c>
      <c r="AA11" s="133">
        <f t="shared" si="30"/>
        <v>64389.215803682629</v>
      </c>
      <c r="AB11" s="133">
        <f t="shared" si="31"/>
        <v>63797.699862922884</v>
      </c>
      <c r="AC11" s="133">
        <f t="shared" si="32"/>
        <v>63206.183922163145</v>
      </c>
      <c r="AD11" s="133">
        <f t="shared" si="33"/>
        <v>62614.6679814034</v>
      </c>
      <c r="AE11" s="133">
        <f t="shared" si="34"/>
        <v>62023.152040643661</v>
      </c>
      <c r="AF11" s="133">
        <f t="shared" si="35"/>
        <v>61431.636099883915</v>
      </c>
      <c r="AG11" s="161">
        <f t="shared" si="36"/>
        <v>0.18571172597225771</v>
      </c>
      <c r="AH11" s="161">
        <f>C11/C$8</f>
        <v>0.19043964553766993</v>
      </c>
      <c r="AI11" s="161">
        <f t="shared" si="38"/>
        <v>0.19523317037118831</v>
      </c>
      <c r="AJ11" s="161">
        <f t="shared" si="39"/>
        <v>0.2000936755347974</v>
      </c>
      <c r="AK11" s="161">
        <f t="shared" si="40"/>
        <v>0.20502257478856345</v>
      </c>
      <c r="AL11" s="64">
        <v>0.21002132196162046</v>
      </c>
      <c r="AM11" s="64">
        <v>0.21290838972567852</v>
      </c>
      <c r="AN11" s="64">
        <v>0.21593619558735835</v>
      </c>
      <c r="AO11" s="64">
        <v>0.21911528764611501</v>
      </c>
      <c r="AP11" s="64">
        <v>0.22245729509481268</v>
      </c>
      <c r="AQ11" s="64">
        <v>0.22597507036590264</v>
      </c>
      <c r="AR11" s="64">
        <v>0.22597507036590264</v>
      </c>
      <c r="AS11" s="64">
        <v>0.22597507036590264</v>
      </c>
      <c r="AT11" s="64">
        <v>0.22597507036590264</v>
      </c>
      <c r="AU11" s="64">
        <v>0.22597507036590264</v>
      </c>
      <c r="AV11" s="64">
        <v>0.22597507036590264</v>
      </c>
      <c r="AW11" s="64">
        <v>0.22597507036590264</v>
      </c>
      <c r="AX11" s="64">
        <v>0.22597507036590264</v>
      </c>
      <c r="AY11" s="64">
        <v>0.22597507036590264</v>
      </c>
      <c r="AZ11" s="64">
        <v>0.22597507036590264</v>
      </c>
      <c r="BA11" s="64">
        <v>0.22597507036590264</v>
      </c>
      <c r="BB11" s="64">
        <v>0.22597507036590264</v>
      </c>
      <c r="BC11" s="64">
        <v>0.22597507036590264</v>
      </c>
      <c r="BD11" s="64">
        <v>0.22597507036590264</v>
      </c>
      <c r="BE11" s="64">
        <v>0.22597507036590264</v>
      </c>
      <c r="BF11" s="67">
        <v>0.22597507036590264</v>
      </c>
      <c r="BG11" s="67">
        <v>0.22597507036590264</v>
      </c>
      <c r="BH11" s="67">
        <v>0.22597507036590264</v>
      </c>
      <c r="BI11" s="67">
        <v>0.22597507036590264</v>
      </c>
      <c r="BJ11" s="67">
        <v>0.22597507036590264</v>
      </c>
      <c r="BK11" s="67">
        <v>0.22597507036590264</v>
      </c>
    </row>
    <row r="12" spans="1:63" x14ac:dyDescent="0.35">
      <c r="A12" s="136" t="s">
        <v>9</v>
      </c>
      <c r="B12" s="127">
        <f>'Initial demand info'!F13</f>
        <v>185296.10311</v>
      </c>
      <c r="C12" s="128">
        <f t="shared" ref="C12:F12" si="42">B12+($G12-$B12)/5</f>
        <v>181715.48148781256</v>
      </c>
      <c r="D12" s="128">
        <f t="shared" si="42"/>
        <v>178134.85986562513</v>
      </c>
      <c r="E12" s="128">
        <f t="shared" si="42"/>
        <v>174554.23824343769</v>
      </c>
      <c r="F12" s="128">
        <f t="shared" si="42"/>
        <v>170973.61662125026</v>
      </c>
      <c r="G12" s="133">
        <f t="shared" si="10"/>
        <v>167392.99499906288</v>
      </c>
      <c r="H12" s="133">
        <f t="shared" si="11"/>
        <v>160774.77564607078</v>
      </c>
      <c r="I12" s="133">
        <f t="shared" si="12"/>
        <v>154064.94742291569</v>
      </c>
      <c r="J12" s="133">
        <f t="shared" si="13"/>
        <v>147256.64438860668</v>
      </c>
      <c r="K12" s="133">
        <f t="shared" si="14"/>
        <v>140342.29689969122</v>
      </c>
      <c r="L12" s="133">
        <f t="shared" si="15"/>
        <v>133313.53908484068</v>
      </c>
      <c r="M12" s="133">
        <f t="shared" si="16"/>
        <v>132387.46537031498</v>
      </c>
      <c r="N12" s="133">
        <f t="shared" si="17"/>
        <v>131461.39165578931</v>
      </c>
      <c r="O12" s="133">
        <f t="shared" si="18"/>
        <v>130535.31794126361</v>
      </c>
      <c r="P12" s="133">
        <f t="shared" si="19"/>
        <v>129609.24422673791</v>
      </c>
      <c r="Q12" s="133">
        <f t="shared" si="20"/>
        <v>128683.17051221222</v>
      </c>
      <c r="R12" s="133">
        <f t="shared" si="21"/>
        <v>127664.04624119119</v>
      </c>
      <c r="S12" s="133">
        <f t="shared" si="22"/>
        <v>126644.92197017015</v>
      </c>
      <c r="T12" s="133">
        <f t="shared" si="23"/>
        <v>125625.79769914912</v>
      </c>
      <c r="U12" s="133">
        <f t="shared" si="24"/>
        <v>124606.67342812808</v>
      </c>
      <c r="V12" s="133">
        <f t="shared" si="25"/>
        <v>123587.54915710705</v>
      </c>
      <c r="W12" s="133">
        <f t="shared" si="26"/>
        <v>122517.60897315912</v>
      </c>
      <c r="X12" s="133">
        <f t="shared" si="27"/>
        <v>121447.66878921121</v>
      </c>
      <c r="Y12" s="133">
        <f t="shared" si="28"/>
        <v>120377.72860526328</v>
      </c>
      <c r="Z12" s="133">
        <f t="shared" si="29"/>
        <v>119307.78842131536</v>
      </c>
      <c r="AA12" s="133">
        <f t="shared" si="30"/>
        <v>118237.84823736741</v>
      </c>
      <c r="AB12" s="133">
        <f t="shared" si="31"/>
        <v>117151.64814686197</v>
      </c>
      <c r="AC12" s="133">
        <f t="shared" si="32"/>
        <v>116065.44805635653</v>
      </c>
      <c r="AD12" s="133">
        <f t="shared" si="33"/>
        <v>114979.2479658511</v>
      </c>
      <c r="AE12" s="133">
        <f t="shared" si="34"/>
        <v>113893.04787534567</v>
      </c>
      <c r="AF12" s="133">
        <f t="shared" si="35"/>
        <v>112806.84778484023</v>
      </c>
      <c r="AG12" s="161">
        <f t="shared" si="36"/>
        <v>0.51972213196435235</v>
      </c>
      <c r="AH12" s="161">
        <f t="shared" si="37"/>
        <v>0.51319095837585149</v>
      </c>
      <c r="AI12" s="161">
        <f t="shared" si="38"/>
        <v>0.5065691573161355</v>
      </c>
      <c r="AJ12" s="161">
        <f t="shared" si="39"/>
        <v>0.49985482926716246</v>
      </c>
      <c r="AK12" s="161">
        <f t="shared" si="40"/>
        <v>0.49304602125315133</v>
      </c>
      <c r="AL12" s="66">
        <v>0.48614072494669508</v>
      </c>
      <c r="AM12" s="66">
        <v>0.47325911373062651</v>
      </c>
      <c r="AN12" s="66">
        <v>0.45974955277280871</v>
      </c>
      <c r="AO12" s="66">
        <v>0.44556497822599145</v>
      </c>
      <c r="AP12" s="66">
        <v>0.43065350258580182</v>
      </c>
      <c r="AQ12" s="66">
        <v>0.41495778045838355</v>
      </c>
      <c r="AR12" s="66">
        <v>0.41495778045838355</v>
      </c>
      <c r="AS12" s="66">
        <v>0.41495778045838355</v>
      </c>
      <c r="AT12" s="66">
        <v>0.41495778045838355</v>
      </c>
      <c r="AU12" s="66">
        <v>0.41495778045838355</v>
      </c>
      <c r="AV12" s="66">
        <v>0.41495778045838355</v>
      </c>
      <c r="AW12" s="66">
        <v>0.41495778045838355</v>
      </c>
      <c r="AX12" s="66">
        <v>0.41495778045838355</v>
      </c>
      <c r="AY12" s="66">
        <v>0.41495778045838355</v>
      </c>
      <c r="AZ12" s="66">
        <v>0.41495778045838355</v>
      </c>
      <c r="BA12" s="66">
        <v>0.41495778045838355</v>
      </c>
      <c r="BB12" s="66">
        <v>0.41495778045838355</v>
      </c>
      <c r="BC12" s="66">
        <v>0.41495778045838355</v>
      </c>
      <c r="BD12" s="66">
        <v>0.41495778045838355</v>
      </c>
      <c r="BE12" s="66">
        <v>0.41495778045838355</v>
      </c>
      <c r="BF12" s="68">
        <v>0.41495778045838355</v>
      </c>
      <c r="BG12" s="68">
        <v>0.41495778045838355</v>
      </c>
      <c r="BH12" s="68">
        <v>0.41495778045838355</v>
      </c>
      <c r="BI12" s="68">
        <v>0.41495778045838355</v>
      </c>
      <c r="BJ12" s="68">
        <v>0.41495778045838355</v>
      </c>
      <c r="BK12" s="68">
        <v>0.41495778045838355</v>
      </c>
    </row>
    <row r="13" spans="1:63" x14ac:dyDescent="0.35">
      <c r="A13" s="131" t="s">
        <v>10</v>
      </c>
      <c r="B13" s="132">
        <f>'Initial demand info'!F14</f>
        <v>21762.788690000001</v>
      </c>
      <c r="C13" s="128">
        <f t="shared" ref="C13:F13" si="43">B13+($G13-$B13)/5</f>
        <v>19979.86026119614</v>
      </c>
      <c r="D13" s="128">
        <f t="shared" si="43"/>
        <v>18196.931832392278</v>
      </c>
      <c r="E13" s="128">
        <f t="shared" si="43"/>
        <v>16414.003403588416</v>
      </c>
      <c r="F13" s="128">
        <f t="shared" si="43"/>
        <v>14631.074974784557</v>
      </c>
      <c r="G13" s="133">
        <f t="shared" si="10"/>
        <v>12848.146545980702</v>
      </c>
      <c r="H13" s="133">
        <f t="shared" si="11"/>
        <v>11074.277289274247</v>
      </c>
      <c r="I13" s="133">
        <f t="shared" si="12"/>
        <v>9266.876701345931</v>
      </c>
      <c r="J13" s="133">
        <f t="shared" si="13"/>
        <v>7423.4316615655607</v>
      </c>
      <c r="K13" s="133">
        <f t="shared" si="14"/>
        <v>5541.1714751151703</v>
      </c>
      <c r="L13" s="133">
        <f t="shared" si="15"/>
        <v>3617.0340061778484</v>
      </c>
      <c r="M13" s="133">
        <f t="shared" si="16"/>
        <v>3591.907975163585</v>
      </c>
      <c r="N13" s="133">
        <f t="shared" si="17"/>
        <v>3566.781944149322</v>
      </c>
      <c r="O13" s="133">
        <f t="shared" si="18"/>
        <v>3541.6559131350591</v>
      </c>
      <c r="P13" s="133">
        <f t="shared" si="19"/>
        <v>3516.5298821207962</v>
      </c>
      <c r="Q13" s="133">
        <f t="shared" si="20"/>
        <v>3491.4038511065332</v>
      </c>
      <c r="R13" s="133">
        <f t="shared" si="21"/>
        <v>3463.7531925904586</v>
      </c>
      <c r="S13" s="133">
        <f t="shared" si="22"/>
        <v>3436.102534074384</v>
      </c>
      <c r="T13" s="133">
        <f t="shared" si="23"/>
        <v>3408.4518755583094</v>
      </c>
      <c r="U13" s="133">
        <f t="shared" si="24"/>
        <v>3380.8012170422353</v>
      </c>
      <c r="V13" s="133">
        <f t="shared" si="25"/>
        <v>3353.1505585261607</v>
      </c>
      <c r="W13" s="133">
        <f t="shared" si="26"/>
        <v>3324.1211736903642</v>
      </c>
      <c r="X13" s="133">
        <f t="shared" si="27"/>
        <v>3295.0917888545678</v>
      </c>
      <c r="Y13" s="133">
        <f t="shared" si="28"/>
        <v>3266.0624040187713</v>
      </c>
      <c r="Z13" s="133">
        <f t="shared" si="29"/>
        <v>3237.0330191829748</v>
      </c>
      <c r="AA13" s="133">
        <f t="shared" si="30"/>
        <v>3208.0036343471779</v>
      </c>
      <c r="AB13" s="133">
        <f t="shared" si="31"/>
        <v>3178.533089255945</v>
      </c>
      <c r="AC13" s="133">
        <f t="shared" si="32"/>
        <v>3149.0625441647126</v>
      </c>
      <c r="AD13" s="133">
        <f t="shared" si="33"/>
        <v>3119.5919990734797</v>
      </c>
      <c r="AE13" s="133">
        <f t="shared" si="34"/>
        <v>3090.1214539822467</v>
      </c>
      <c r="AF13" s="133">
        <f t="shared" si="35"/>
        <v>3060.6509088910143</v>
      </c>
      <c r="AG13" s="161">
        <f t="shared" si="36"/>
        <v>6.1040695112417012E-2</v>
      </c>
      <c r="AH13" s="161">
        <f t="shared" si="37"/>
        <v>5.6426032343020405E-2</v>
      </c>
      <c r="AI13" s="161">
        <f t="shared" si="38"/>
        <v>5.1747335872538699E-2</v>
      </c>
      <c r="AJ13" s="161">
        <f t="shared" si="39"/>
        <v>4.7003263578446863E-2</v>
      </c>
      <c r="AK13" s="161">
        <f t="shared" si="40"/>
        <v>4.2192435567146309E-2</v>
      </c>
      <c r="AL13" s="64">
        <v>3.7313432835820892E-2</v>
      </c>
      <c r="AM13" s="64">
        <v>3.2598413737902933E-2</v>
      </c>
      <c r="AN13" s="64">
        <v>2.765354800238521E-2</v>
      </c>
      <c r="AO13" s="64">
        <v>2.2461608984643593E-2</v>
      </c>
      <c r="AP13" s="64">
        <v>1.7003604450713052E-2</v>
      </c>
      <c r="AQ13" s="64">
        <v>1.1258544431041415E-2</v>
      </c>
      <c r="AR13" s="64">
        <v>1.1258544431041415E-2</v>
      </c>
      <c r="AS13" s="64">
        <v>1.1258544431041415E-2</v>
      </c>
      <c r="AT13" s="64">
        <v>1.1258544431041415E-2</v>
      </c>
      <c r="AU13" s="64">
        <v>1.1258544431041415E-2</v>
      </c>
      <c r="AV13" s="64">
        <v>1.1258544431041415E-2</v>
      </c>
      <c r="AW13" s="64">
        <v>1.1258544431041415E-2</v>
      </c>
      <c r="AX13" s="64">
        <v>1.1258544431041415E-2</v>
      </c>
      <c r="AY13" s="64">
        <v>1.1258544431041415E-2</v>
      </c>
      <c r="AZ13" s="64">
        <v>1.1258544431041415E-2</v>
      </c>
      <c r="BA13" s="64">
        <v>1.1258544431041415E-2</v>
      </c>
      <c r="BB13" s="64">
        <v>1.1258544431041415E-2</v>
      </c>
      <c r="BC13" s="64">
        <v>1.1258544431041415E-2</v>
      </c>
      <c r="BD13" s="64">
        <v>1.1258544431041415E-2</v>
      </c>
      <c r="BE13" s="64">
        <v>1.1258544431041415E-2</v>
      </c>
      <c r="BF13" s="67">
        <v>1.1258544431041415E-2</v>
      </c>
      <c r="BG13" s="67">
        <v>1.1258544431041415E-2</v>
      </c>
      <c r="BH13" s="67">
        <v>1.1258544431041415E-2</v>
      </c>
      <c r="BI13" s="67">
        <v>1.1258544431041415E-2</v>
      </c>
      <c r="BJ13" s="67">
        <v>1.1258544431041415E-2</v>
      </c>
      <c r="BK13" s="67">
        <v>1.1258544431041415E-2</v>
      </c>
    </row>
    <row r="14" spans="1:63" x14ac:dyDescent="0.35">
      <c r="A14" s="136"/>
      <c r="B14" s="127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30"/>
      <c r="BG14" s="130"/>
      <c r="BH14" s="130"/>
      <c r="BI14" s="130"/>
      <c r="BJ14" s="130"/>
      <c r="BK14" s="130"/>
    </row>
    <row r="15" spans="1:63" x14ac:dyDescent="0.35">
      <c r="A15" s="137" t="s">
        <v>5</v>
      </c>
      <c r="B15" s="132">
        <f>'Initial demand info'!F16</f>
        <v>272762.75125000003</v>
      </c>
      <c r="C15" s="128">
        <f>B15+($G15-$B15)/5</f>
        <v>276354.15161996341</v>
      </c>
      <c r="D15" s="128">
        <f t="shared" ref="D15:F15" si="44">C15+($G15-$B15)/5</f>
        <v>279945.55198992678</v>
      </c>
      <c r="E15" s="128">
        <f t="shared" si="44"/>
        <v>283536.95235989016</v>
      </c>
      <c r="F15" s="128">
        <f t="shared" si="44"/>
        <v>287128.35272985353</v>
      </c>
      <c r="G15" s="127">
        <f>'Initial demand info'!K34</f>
        <v>290719.75309981685</v>
      </c>
      <c r="H15" s="128">
        <f>G15+($L15-$G15)/5</f>
        <v>288562.06589943968</v>
      </c>
      <c r="I15" s="128">
        <f t="shared" ref="I15:K15" si="45">H15+($L15-$G15)/5</f>
        <v>286404.37869906251</v>
      </c>
      <c r="J15" s="128">
        <f t="shared" si="45"/>
        <v>284246.69149868534</v>
      </c>
      <c r="K15" s="128">
        <f t="shared" si="45"/>
        <v>282089.00429830817</v>
      </c>
      <c r="L15" s="127">
        <f>'Initial demand info'!L34</f>
        <v>279931.31709793111</v>
      </c>
      <c r="M15" s="128">
        <f>L15+($Q15-$L15)/5</f>
        <v>276555.98091582919</v>
      </c>
      <c r="N15" s="128">
        <f t="shared" ref="N15:P15" si="46">M15+($Q15-$L15)/5</f>
        <v>273180.64473372727</v>
      </c>
      <c r="O15" s="128">
        <f t="shared" si="46"/>
        <v>269805.30855162535</v>
      </c>
      <c r="P15" s="128">
        <f t="shared" si="46"/>
        <v>266429.97236952343</v>
      </c>
      <c r="Q15" s="127">
        <f>'Initial demand info'!M34</f>
        <v>263054.63618742139</v>
      </c>
      <c r="R15" s="128">
        <f>Q15+($V15-$Q15)/5</f>
        <v>260629.65205922737</v>
      </c>
      <c r="S15" s="128">
        <f t="shared" ref="S15:U15" si="47">R15+($V15-$Q15)/5</f>
        <v>258204.66793103336</v>
      </c>
      <c r="T15" s="128">
        <f t="shared" si="47"/>
        <v>255779.68380283934</v>
      </c>
      <c r="U15" s="128">
        <f t="shared" si="47"/>
        <v>253354.69967464532</v>
      </c>
      <c r="V15" s="127">
        <f>'Initial demand info'!N34</f>
        <v>250929.71554645128</v>
      </c>
      <c r="W15" s="128">
        <f>V15+($AA15-$V15)/5</f>
        <v>249227.8935366779</v>
      </c>
      <c r="X15" s="128">
        <f t="shared" ref="X15:Z15" si="48">W15+($AA15-$V15)/5</f>
        <v>247526.07152690453</v>
      </c>
      <c r="Y15" s="128">
        <f t="shared" si="48"/>
        <v>245824.24951713116</v>
      </c>
      <c r="Z15" s="128">
        <f t="shared" si="48"/>
        <v>244122.42750735779</v>
      </c>
      <c r="AA15" s="127">
        <f>'Initial demand info'!O34</f>
        <v>242420.60549758436</v>
      </c>
      <c r="AB15" s="128">
        <f>AA15+($AF15-$AA15)/5</f>
        <v>244596.7463551907</v>
      </c>
      <c r="AC15" s="128">
        <f t="shared" ref="AC15:AE15" si="49">AB15+($AF15-$AA15)/5</f>
        <v>246772.88721279704</v>
      </c>
      <c r="AD15" s="128">
        <f t="shared" si="49"/>
        <v>248949.02807040338</v>
      </c>
      <c r="AE15" s="128">
        <f t="shared" si="49"/>
        <v>251125.16892800972</v>
      </c>
      <c r="AF15" s="127">
        <f>'Initial demand info'!P34</f>
        <v>253301.30978561606</v>
      </c>
      <c r="AG15" s="133">
        <v>1</v>
      </c>
      <c r="AH15" s="133">
        <v>1</v>
      </c>
      <c r="AI15" s="133">
        <v>1</v>
      </c>
      <c r="AJ15" s="133">
        <v>1.0000000000000002</v>
      </c>
      <c r="AK15" s="133">
        <v>1.0000000000000002</v>
      </c>
      <c r="AL15" s="133">
        <v>1.0000000000000002</v>
      </c>
      <c r="AM15" s="133">
        <v>1</v>
      </c>
      <c r="AN15" s="133">
        <v>1</v>
      </c>
      <c r="AO15" s="133">
        <v>1</v>
      </c>
      <c r="AP15" s="133">
        <v>1</v>
      </c>
      <c r="AQ15" s="133">
        <v>0.99999999999999989</v>
      </c>
      <c r="AR15" s="133">
        <v>0.99999999999999989</v>
      </c>
      <c r="AS15" s="133">
        <v>0.99999999999999989</v>
      </c>
      <c r="AT15" s="133">
        <v>0.99999999999999989</v>
      </c>
      <c r="AU15" s="133">
        <v>0.99999999999999989</v>
      </c>
      <c r="AV15" s="133">
        <v>0.99999999999999989</v>
      </c>
      <c r="AW15" s="133">
        <v>0.99999999999999989</v>
      </c>
      <c r="AX15" s="133">
        <v>0.99999999999999989</v>
      </c>
      <c r="AY15" s="133">
        <v>0.99999999999999989</v>
      </c>
      <c r="AZ15" s="133">
        <v>0.99999999999999989</v>
      </c>
      <c r="BA15" s="133">
        <v>0.99999999999999989</v>
      </c>
      <c r="BB15" s="133">
        <v>0.99999999999999989</v>
      </c>
      <c r="BC15" s="133">
        <v>0.99999999999999989</v>
      </c>
      <c r="BD15" s="133">
        <v>0.99999999999999989</v>
      </c>
      <c r="BE15" s="133">
        <v>0.99999999999999989</v>
      </c>
      <c r="BF15" s="135">
        <v>0.99999999999999989</v>
      </c>
      <c r="BG15" s="135">
        <v>0.99999999999999989</v>
      </c>
      <c r="BH15" s="135">
        <v>0.99999999999999989</v>
      </c>
      <c r="BI15" s="135">
        <v>0.99999999999999989</v>
      </c>
      <c r="BJ15" s="135">
        <v>0.99999999999999989</v>
      </c>
      <c r="BK15" s="135">
        <v>0.99999999999999989</v>
      </c>
    </row>
    <row r="16" spans="1:63" x14ac:dyDescent="0.35">
      <c r="A16" s="136" t="s">
        <v>13</v>
      </c>
      <c r="B16" s="127">
        <f>'Initial demand info'!F17</f>
        <v>5060.1781099999998</v>
      </c>
      <c r="C16" s="128">
        <f t="shared" ref="C16:F16" si="50">B16+($G16-$B16)/5</f>
        <v>5790.1070005009233</v>
      </c>
      <c r="D16" s="128">
        <f t="shared" si="50"/>
        <v>6520.0358910018467</v>
      </c>
      <c r="E16" s="128">
        <f t="shared" si="50"/>
        <v>7249.9647815027702</v>
      </c>
      <c r="F16" s="128">
        <f t="shared" si="50"/>
        <v>7979.8936720036936</v>
      </c>
      <c r="G16" s="133">
        <f>G$15*AL16</f>
        <v>8709.8225625046161</v>
      </c>
      <c r="H16" s="133">
        <f t="shared" ref="H16:AF21" si="51">H$15*AM16</f>
        <v>9569.2394637892903</v>
      </c>
      <c r="I16" s="133">
        <f t="shared" si="51"/>
        <v>10431.009837259839</v>
      </c>
      <c r="J16" s="133">
        <f t="shared" si="51"/>
        <v>11295.196486521851</v>
      </c>
      <c r="K16" s="133">
        <f t="shared" si="51"/>
        <v>12161.864469831416</v>
      </c>
      <c r="L16" s="133">
        <f t="shared" si="51"/>
        <v>13031.081202188898</v>
      </c>
      <c r="M16" s="133">
        <f t="shared" si="51"/>
        <v>12873.955946145219</v>
      </c>
      <c r="N16" s="133">
        <f t="shared" si="51"/>
        <v>12716.830690101542</v>
      </c>
      <c r="O16" s="133">
        <f t="shared" si="51"/>
        <v>12559.705434057863</v>
      </c>
      <c r="P16" s="133">
        <f t="shared" si="51"/>
        <v>12402.580178014186</v>
      </c>
      <c r="Q16" s="133">
        <f t="shared" si="51"/>
        <v>12245.454921970504</v>
      </c>
      <c r="R16" s="133">
        <f t="shared" si="51"/>
        <v>12132.569499159948</v>
      </c>
      <c r="S16" s="133">
        <f t="shared" si="51"/>
        <v>12019.684076349393</v>
      </c>
      <c r="T16" s="133">
        <f t="shared" si="51"/>
        <v>11906.798653538839</v>
      </c>
      <c r="U16" s="133">
        <f t="shared" si="51"/>
        <v>11793.913230728283</v>
      </c>
      <c r="V16" s="133">
        <f t="shared" si="51"/>
        <v>11681.027807917728</v>
      </c>
      <c r="W16" s="133">
        <f t="shared" si="51"/>
        <v>11601.806300903309</v>
      </c>
      <c r="X16" s="133">
        <f t="shared" si="51"/>
        <v>11522.584793888891</v>
      </c>
      <c r="Y16" s="133">
        <f t="shared" si="51"/>
        <v>11443.363286874472</v>
      </c>
      <c r="Z16" s="133">
        <f t="shared" si="51"/>
        <v>11364.141779860054</v>
      </c>
      <c r="AA16" s="133">
        <f t="shared" si="51"/>
        <v>11284.920272845633</v>
      </c>
      <c r="AB16" s="133">
        <f t="shared" si="51"/>
        <v>11386.221793936067</v>
      </c>
      <c r="AC16" s="133">
        <f t="shared" si="51"/>
        <v>11487.523315026501</v>
      </c>
      <c r="AD16" s="133">
        <f t="shared" si="51"/>
        <v>11588.824836116937</v>
      </c>
      <c r="AE16" s="133">
        <f t="shared" si="51"/>
        <v>11690.126357207371</v>
      </c>
      <c r="AF16" s="133">
        <f t="shared" si="51"/>
        <v>11791.427878297805</v>
      </c>
      <c r="AG16" s="161">
        <f>B16/B$15</f>
        <v>1.8551573067842046E-2</v>
      </c>
      <c r="AH16" s="161">
        <f t="shared" ref="AH16:AK16" si="52">C16/C$15</f>
        <v>2.095176412787661E-2</v>
      </c>
      <c r="AI16" s="161">
        <f t="shared" si="52"/>
        <v>2.3290371447789445E-2</v>
      </c>
      <c r="AJ16" s="161">
        <f t="shared" si="52"/>
        <v>2.5569735165596595E-2</v>
      </c>
      <c r="AK16" s="161">
        <f t="shared" si="52"/>
        <v>2.7792078337563638E-2</v>
      </c>
      <c r="AL16" s="128">
        <v>2.9959514170040426E-2</v>
      </c>
      <c r="AM16" s="128">
        <v>3.316180674671234E-2</v>
      </c>
      <c r="AN16" s="128">
        <v>3.642056690837172E-2</v>
      </c>
      <c r="AO16" s="128">
        <v>3.9737301521323397E-2</v>
      </c>
      <c r="AP16" s="128">
        <v>4.3113571548397844E-2</v>
      </c>
      <c r="AQ16" s="128">
        <v>4.6550994498518745E-2</v>
      </c>
      <c r="AR16" s="128">
        <v>4.6550994498518745E-2</v>
      </c>
      <c r="AS16" s="128">
        <v>4.6550994498518745E-2</v>
      </c>
      <c r="AT16" s="128">
        <v>4.6550994498518745E-2</v>
      </c>
      <c r="AU16" s="128">
        <v>4.6550994498518745E-2</v>
      </c>
      <c r="AV16" s="128">
        <v>4.6550994498518745E-2</v>
      </c>
      <c r="AW16" s="128">
        <v>4.6550994498518745E-2</v>
      </c>
      <c r="AX16" s="128">
        <v>4.6550994498518745E-2</v>
      </c>
      <c r="AY16" s="128">
        <v>4.6550994498518745E-2</v>
      </c>
      <c r="AZ16" s="128">
        <v>4.6550994498518745E-2</v>
      </c>
      <c r="BA16" s="128">
        <v>4.6550994498518745E-2</v>
      </c>
      <c r="BB16" s="128">
        <v>4.6550994498518745E-2</v>
      </c>
      <c r="BC16" s="128">
        <v>4.6550994498518745E-2</v>
      </c>
      <c r="BD16" s="128">
        <v>4.6550994498518745E-2</v>
      </c>
      <c r="BE16" s="128">
        <v>4.6550994498518745E-2</v>
      </c>
      <c r="BF16" s="130">
        <v>4.6550994498518745E-2</v>
      </c>
      <c r="BG16" s="130">
        <v>4.6550994498518745E-2</v>
      </c>
      <c r="BH16" s="130">
        <v>4.6550994498518745E-2</v>
      </c>
      <c r="BI16" s="130">
        <v>4.6550994498518745E-2</v>
      </c>
      <c r="BJ16" s="130">
        <v>4.6550994498518745E-2</v>
      </c>
      <c r="BK16" s="130">
        <v>4.6550994498518745E-2</v>
      </c>
    </row>
    <row r="17" spans="1:96" x14ac:dyDescent="0.35">
      <c r="A17" s="131" t="s">
        <v>12</v>
      </c>
      <c r="B17" s="132">
        <f>'Initial demand info'!F18</f>
        <v>31253.426930000005</v>
      </c>
      <c r="C17" s="128">
        <f t="shared" ref="C17:F17" si="53">B17+($G17-$B17)/5</f>
        <v>32182.460142821394</v>
      </c>
      <c r="D17" s="128">
        <f t="shared" si="53"/>
        <v>33111.493355642786</v>
      </c>
      <c r="E17" s="128">
        <f t="shared" si="53"/>
        <v>34040.526568464178</v>
      </c>
      <c r="F17" s="128">
        <f t="shared" si="53"/>
        <v>34969.55978128557</v>
      </c>
      <c r="G17" s="133">
        <f t="shared" ref="G17:G21" si="54">G$15*AL17</f>
        <v>35898.592994106948</v>
      </c>
      <c r="H17" s="133">
        <f t="shared" si="51"/>
        <v>35095.067885670651</v>
      </c>
      <c r="I17" s="133">
        <f t="shared" si="51"/>
        <v>34290.174872259224</v>
      </c>
      <c r="J17" s="133">
        <f t="shared" si="51"/>
        <v>33483.877450630745</v>
      </c>
      <c r="K17" s="133">
        <f t="shared" si="51"/>
        <v>32676.137807076306</v>
      </c>
      <c r="L17" s="133">
        <f t="shared" si="51"/>
        <v>31866.916758080199</v>
      </c>
      <c r="M17" s="133">
        <f t="shared" si="51"/>
        <v>31482.674086482479</v>
      </c>
      <c r="N17" s="133">
        <f t="shared" si="51"/>
        <v>31098.431414884755</v>
      </c>
      <c r="O17" s="133">
        <f t="shared" si="51"/>
        <v>30714.188743287035</v>
      </c>
      <c r="P17" s="133">
        <f t="shared" si="51"/>
        <v>30329.946071689312</v>
      </c>
      <c r="Q17" s="133">
        <f t="shared" si="51"/>
        <v>29945.703400091577</v>
      </c>
      <c r="R17" s="133">
        <f t="shared" si="51"/>
        <v>29669.647229763945</v>
      </c>
      <c r="S17" s="133">
        <f t="shared" si="51"/>
        <v>29393.591059436316</v>
      </c>
      <c r="T17" s="133">
        <f t="shared" si="51"/>
        <v>29117.534889108683</v>
      </c>
      <c r="U17" s="133">
        <f t="shared" si="51"/>
        <v>28841.478718781054</v>
      </c>
      <c r="V17" s="133">
        <f t="shared" si="51"/>
        <v>28565.422548453422</v>
      </c>
      <c r="W17" s="133">
        <f t="shared" si="51"/>
        <v>28371.68995402725</v>
      </c>
      <c r="X17" s="133">
        <f t="shared" si="51"/>
        <v>28177.957359601081</v>
      </c>
      <c r="Y17" s="133">
        <f t="shared" si="51"/>
        <v>27984.224765174913</v>
      </c>
      <c r="Z17" s="133">
        <f t="shared" si="51"/>
        <v>27790.492170748745</v>
      </c>
      <c r="AA17" s="133">
        <f t="shared" si="51"/>
        <v>27596.759576322569</v>
      </c>
      <c r="AB17" s="133">
        <f t="shared" si="51"/>
        <v>27844.487841534632</v>
      </c>
      <c r="AC17" s="133">
        <f t="shared" si="51"/>
        <v>28092.216106746695</v>
      </c>
      <c r="AD17" s="133">
        <f t="shared" si="51"/>
        <v>28339.944371958758</v>
      </c>
      <c r="AE17" s="133">
        <f t="shared" si="51"/>
        <v>28587.672637170821</v>
      </c>
      <c r="AF17" s="133">
        <f t="shared" si="51"/>
        <v>28835.400902382888</v>
      </c>
      <c r="AG17" s="161">
        <f t="shared" ref="AG17:AG21" si="55">B17/B$15</f>
        <v>0.11458099314064607</v>
      </c>
      <c r="AH17" s="161">
        <f t="shared" ref="AH17:AH21" si="56">C17/C$15</f>
        <v>0.11645368797309785</v>
      </c>
      <c r="AI17" s="161">
        <f t="shared" ref="AI17:AI21" si="57">D17/D$15</f>
        <v>0.11827833348405632</v>
      </c>
      <c r="AJ17" s="161">
        <f t="shared" ref="AJ17:AJ21" si="58">E17/E$15</f>
        <v>0.12005675551332347</v>
      </c>
      <c r="AK17" s="161">
        <f t="shared" ref="AK17:AK21" si="59">F17/F$15</f>
        <v>0.12179068855031148</v>
      </c>
      <c r="AL17" s="133">
        <v>0.12348178137651825</v>
      </c>
      <c r="AM17" s="133">
        <v>0.12162051784693297</v>
      </c>
      <c r="AN17" s="133">
        <v>0.11972643375082402</v>
      </c>
      <c r="AO17" s="133">
        <v>0.11779865325463466</v>
      </c>
      <c r="AP17" s="133">
        <v>0.11583626908236877</v>
      </c>
      <c r="AQ17" s="133">
        <v>0.11383834109183248</v>
      </c>
      <c r="AR17" s="133">
        <v>0.11383834109183248</v>
      </c>
      <c r="AS17" s="133">
        <v>0.11383834109183248</v>
      </c>
      <c r="AT17" s="133">
        <v>0.11383834109183248</v>
      </c>
      <c r="AU17" s="133">
        <v>0.11383834109183248</v>
      </c>
      <c r="AV17" s="133">
        <v>0.11383834109183248</v>
      </c>
      <c r="AW17" s="133">
        <v>0.11383834109183248</v>
      </c>
      <c r="AX17" s="133">
        <v>0.11383834109183248</v>
      </c>
      <c r="AY17" s="133">
        <v>0.11383834109183248</v>
      </c>
      <c r="AZ17" s="133">
        <v>0.11383834109183248</v>
      </c>
      <c r="BA17" s="133">
        <v>0.11383834109183248</v>
      </c>
      <c r="BB17" s="133">
        <v>0.11383834109183248</v>
      </c>
      <c r="BC17" s="133">
        <v>0.11383834109183248</v>
      </c>
      <c r="BD17" s="133">
        <v>0.11383834109183248</v>
      </c>
      <c r="BE17" s="133">
        <v>0.11383834109183248</v>
      </c>
      <c r="BF17" s="135">
        <v>0.11383834109183248</v>
      </c>
      <c r="BG17" s="135">
        <v>0.11383834109183248</v>
      </c>
      <c r="BH17" s="135">
        <v>0.11383834109183248</v>
      </c>
      <c r="BI17" s="135">
        <v>0.11383834109183248</v>
      </c>
      <c r="BJ17" s="135">
        <v>0.11383834109183248</v>
      </c>
      <c r="BK17" s="135">
        <v>0.11383834109183248</v>
      </c>
    </row>
    <row r="18" spans="1:96" x14ac:dyDescent="0.35">
      <c r="A18" s="136" t="s">
        <v>11</v>
      </c>
      <c r="B18" s="127">
        <f>'Initial demand info'!F19</f>
        <v>117304.54125000001</v>
      </c>
      <c r="C18" s="128">
        <f t="shared" ref="C18:F18" si="60">B18+($G18-$B18)/5</f>
        <v>116371.47135761335</v>
      </c>
      <c r="D18" s="128">
        <f t="shared" si="60"/>
        <v>115438.40146522669</v>
      </c>
      <c r="E18" s="128">
        <f t="shared" si="60"/>
        <v>114505.33157284003</v>
      </c>
      <c r="F18" s="128">
        <f t="shared" si="60"/>
        <v>113572.26168045338</v>
      </c>
      <c r="G18" s="133">
        <f t="shared" si="54"/>
        <v>112639.1917880667</v>
      </c>
      <c r="H18" s="133">
        <f t="shared" si="51"/>
        <v>112615.33536449587</v>
      </c>
      <c r="I18" s="133">
        <f t="shared" si="51"/>
        <v>112593.54736101082</v>
      </c>
      <c r="J18" s="133">
        <f t="shared" si="51"/>
        <v>112573.88297445647</v>
      </c>
      <c r="K18" s="133">
        <f t="shared" si="51"/>
        <v>112556.39938324541</v>
      </c>
      <c r="L18" s="133">
        <f t="shared" si="51"/>
        <v>112541.15583708616</v>
      </c>
      <c r="M18" s="133">
        <f t="shared" si="51"/>
        <v>111184.16498943621</v>
      </c>
      <c r="N18" s="133">
        <f t="shared" si="51"/>
        <v>109827.17414178626</v>
      </c>
      <c r="O18" s="133">
        <f t="shared" si="51"/>
        <v>108470.18329413632</v>
      </c>
      <c r="P18" s="133">
        <f t="shared" si="51"/>
        <v>107113.19244648637</v>
      </c>
      <c r="Q18" s="133">
        <f t="shared" si="51"/>
        <v>105756.20159883637</v>
      </c>
      <c r="R18" s="133">
        <f t="shared" si="51"/>
        <v>104781.28203819976</v>
      </c>
      <c r="S18" s="133">
        <f t="shared" si="51"/>
        <v>103806.36247756315</v>
      </c>
      <c r="T18" s="133">
        <f t="shared" si="51"/>
        <v>102831.44291692653</v>
      </c>
      <c r="U18" s="133">
        <f t="shared" si="51"/>
        <v>101856.52335628992</v>
      </c>
      <c r="V18" s="133">
        <f t="shared" si="51"/>
        <v>100881.6037956533</v>
      </c>
      <c r="W18" s="133">
        <f t="shared" si="51"/>
        <v>100197.41805325604</v>
      </c>
      <c r="X18" s="133">
        <f t="shared" si="51"/>
        <v>99513.232310858803</v>
      </c>
      <c r="Y18" s="133">
        <f t="shared" si="51"/>
        <v>98829.046568461548</v>
      </c>
      <c r="Z18" s="133">
        <f t="shared" si="51"/>
        <v>98144.860826064294</v>
      </c>
      <c r="AA18" s="133">
        <f t="shared" si="51"/>
        <v>97460.675083667025</v>
      </c>
      <c r="AB18" s="133">
        <f t="shared" si="51"/>
        <v>98335.551856720776</v>
      </c>
      <c r="AC18" s="133">
        <f t="shared" si="51"/>
        <v>99210.428629774528</v>
      </c>
      <c r="AD18" s="133">
        <f t="shared" si="51"/>
        <v>100085.30540282829</v>
      </c>
      <c r="AE18" s="133">
        <f t="shared" si="51"/>
        <v>100960.18217588204</v>
      </c>
      <c r="AF18" s="133">
        <f t="shared" si="51"/>
        <v>101835.0589489358</v>
      </c>
      <c r="AG18" s="161">
        <f t="shared" si="55"/>
        <v>0.43006070554877496</v>
      </c>
      <c r="AH18" s="161">
        <f t="shared" si="56"/>
        <v>0.42109543379556325</v>
      </c>
      <c r="AI18" s="161">
        <f t="shared" si="57"/>
        <v>0.41236019163248033</v>
      </c>
      <c r="AJ18" s="161">
        <f t="shared" si="58"/>
        <v>0.40384623809985709</v>
      </c>
      <c r="AK18" s="161">
        <f t="shared" si="59"/>
        <v>0.39554526956558878</v>
      </c>
      <c r="AL18" s="128">
        <v>0.38744939271255063</v>
      </c>
      <c r="AM18" s="128">
        <v>0.39026382422608841</v>
      </c>
      <c r="AN18" s="128">
        <v>0.39312788398154253</v>
      </c>
      <c r="AO18" s="128">
        <v>0.39604289633385981</v>
      </c>
      <c r="AP18" s="128">
        <v>0.3990102331823519</v>
      </c>
      <c r="AQ18" s="128">
        <v>0.40203131612357179</v>
      </c>
      <c r="AR18" s="128">
        <v>0.40203131612357179</v>
      </c>
      <c r="AS18" s="128">
        <v>0.40203131612357179</v>
      </c>
      <c r="AT18" s="128">
        <v>0.40203131612357179</v>
      </c>
      <c r="AU18" s="128">
        <v>0.40203131612357179</v>
      </c>
      <c r="AV18" s="128">
        <v>0.40203131612357179</v>
      </c>
      <c r="AW18" s="128">
        <v>0.40203131612357179</v>
      </c>
      <c r="AX18" s="128">
        <v>0.40203131612357179</v>
      </c>
      <c r="AY18" s="128">
        <v>0.40203131612357179</v>
      </c>
      <c r="AZ18" s="128">
        <v>0.40203131612357179</v>
      </c>
      <c r="BA18" s="128">
        <v>0.40203131612357179</v>
      </c>
      <c r="BB18" s="128">
        <v>0.40203131612357179</v>
      </c>
      <c r="BC18" s="128">
        <v>0.40203131612357179</v>
      </c>
      <c r="BD18" s="128">
        <v>0.40203131612357179</v>
      </c>
      <c r="BE18" s="128">
        <v>0.40203131612357179</v>
      </c>
      <c r="BF18" s="130">
        <v>0.40203131612357179</v>
      </c>
      <c r="BG18" s="130">
        <v>0.40203131612357179</v>
      </c>
      <c r="BH18" s="130">
        <v>0.40203131612357179</v>
      </c>
      <c r="BI18" s="130">
        <v>0.40203131612357179</v>
      </c>
      <c r="BJ18" s="130">
        <v>0.40203131612357179</v>
      </c>
      <c r="BK18" s="130">
        <v>0.40203131612357179</v>
      </c>
    </row>
    <row r="19" spans="1:96" x14ac:dyDescent="0.35">
      <c r="A19" s="131" t="s">
        <v>9</v>
      </c>
      <c r="B19" s="132">
        <f>'Initial demand info'!F20</f>
        <v>93985.972570000013</v>
      </c>
      <c r="C19" s="128">
        <f t="shared" ref="C19:F19" si="61">B19+($G19-$B19)/5</f>
        <v>94350.387693510216</v>
      </c>
      <c r="D19" s="128">
        <f t="shared" si="61"/>
        <v>94714.80281702042</v>
      </c>
      <c r="E19" s="128">
        <f t="shared" si="61"/>
        <v>95079.217940530623</v>
      </c>
      <c r="F19" s="128">
        <f t="shared" si="61"/>
        <v>95443.633064040827</v>
      </c>
      <c r="G19" s="133">
        <f t="shared" si="54"/>
        <v>95808.048187551001</v>
      </c>
      <c r="H19" s="133">
        <f t="shared" si="51"/>
        <v>94867.460201359543</v>
      </c>
      <c r="I19" s="133">
        <f t="shared" si="51"/>
        <v>93926.287674873849</v>
      </c>
      <c r="J19" s="133">
        <f t="shared" si="51"/>
        <v>92984.515009338036</v>
      </c>
      <c r="K19" s="133">
        <f t="shared" si="51"/>
        <v>92042.126046000601</v>
      </c>
      <c r="L19" s="133">
        <f t="shared" si="51"/>
        <v>91099.104040757098</v>
      </c>
      <c r="M19" s="133">
        <f t="shared" si="51"/>
        <v>90000.655659869939</v>
      </c>
      <c r="N19" s="133">
        <f t="shared" si="51"/>
        <v>88902.207278982765</v>
      </c>
      <c r="O19" s="133">
        <f t="shared" si="51"/>
        <v>87803.758898095606</v>
      </c>
      <c r="P19" s="133">
        <f t="shared" si="51"/>
        <v>86705.310517208432</v>
      </c>
      <c r="Q19" s="133">
        <f t="shared" si="51"/>
        <v>85606.86213632123</v>
      </c>
      <c r="R19" s="133">
        <f t="shared" si="51"/>
        <v>84817.690407763803</v>
      </c>
      <c r="S19" s="133">
        <f t="shared" si="51"/>
        <v>84028.518679206376</v>
      </c>
      <c r="T19" s="133">
        <f t="shared" si="51"/>
        <v>83239.346950648949</v>
      </c>
      <c r="U19" s="133">
        <f t="shared" si="51"/>
        <v>82450.175222091522</v>
      </c>
      <c r="V19" s="133">
        <f t="shared" si="51"/>
        <v>81661.003493534081</v>
      </c>
      <c r="W19" s="133">
        <f t="shared" si="51"/>
        <v>81107.173139951468</v>
      </c>
      <c r="X19" s="133">
        <f t="shared" si="51"/>
        <v>80553.342786368856</v>
      </c>
      <c r="Y19" s="133">
        <f t="shared" si="51"/>
        <v>79999.512432786229</v>
      </c>
      <c r="Z19" s="133">
        <f t="shared" si="51"/>
        <v>79445.682079203616</v>
      </c>
      <c r="AA19" s="133">
        <f t="shared" si="51"/>
        <v>78891.851725620989</v>
      </c>
      <c r="AB19" s="133">
        <f t="shared" si="51"/>
        <v>79600.041450335018</v>
      </c>
      <c r="AC19" s="133">
        <f t="shared" si="51"/>
        <v>80308.231175049063</v>
      </c>
      <c r="AD19" s="133">
        <f t="shared" si="51"/>
        <v>81016.420899763107</v>
      </c>
      <c r="AE19" s="133">
        <f t="shared" si="51"/>
        <v>81724.610624477136</v>
      </c>
      <c r="AF19" s="133">
        <f t="shared" si="51"/>
        <v>82432.80034919118</v>
      </c>
      <c r="AG19" s="161">
        <f t="shared" si="55"/>
        <v>0.3445704083101046</v>
      </c>
      <c r="AH19" s="161">
        <f t="shared" si="56"/>
        <v>0.34141114631510566</v>
      </c>
      <c r="AI19" s="161">
        <f t="shared" si="57"/>
        <v>0.33833294418776305</v>
      </c>
      <c r="AJ19" s="161">
        <f t="shared" si="58"/>
        <v>0.33533272171116402</v>
      </c>
      <c r="AK19" s="161">
        <f t="shared" si="59"/>
        <v>0.33240755277776263</v>
      </c>
      <c r="AL19" s="133">
        <v>0.32955465587044541</v>
      </c>
      <c r="AM19" s="133">
        <v>0.32875929102344204</v>
      </c>
      <c r="AN19" s="133">
        <v>0.32794990112063288</v>
      </c>
      <c r="AO19" s="133">
        <v>0.32712611189625085</v>
      </c>
      <c r="AP19" s="133">
        <v>0.32628753564838126</v>
      </c>
      <c r="AQ19" s="133">
        <v>0.3254337706305544</v>
      </c>
      <c r="AR19" s="133">
        <v>0.3254337706305544</v>
      </c>
      <c r="AS19" s="133">
        <v>0.3254337706305544</v>
      </c>
      <c r="AT19" s="133">
        <v>0.3254337706305544</v>
      </c>
      <c r="AU19" s="133">
        <v>0.3254337706305544</v>
      </c>
      <c r="AV19" s="133">
        <v>0.3254337706305544</v>
      </c>
      <c r="AW19" s="133">
        <v>0.3254337706305544</v>
      </c>
      <c r="AX19" s="133">
        <v>0.3254337706305544</v>
      </c>
      <c r="AY19" s="133">
        <v>0.3254337706305544</v>
      </c>
      <c r="AZ19" s="133">
        <v>0.3254337706305544</v>
      </c>
      <c r="BA19" s="133">
        <v>0.3254337706305544</v>
      </c>
      <c r="BB19" s="133">
        <v>0.3254337706305544</v>
      </c>
      <c r="BC19" s="133">
        <v>0.3254337706305544</v>
      </c>
      <c r="BD19" s="133">
        <v>0.3254337706305544</v>
      </c>
      <c r="BE19" s="133">
        <v>0.3254337706305544</v>
      </c>
      <c r="BF19" s="135">
        <v>0.3254337706305544</v>
      </c>
      <c r="BG19" s="135">
        <v>0.3254337706305544</v>
      </c>
      <c r="BH19" s="135">
        <v>0.3254337706305544</v>
      </c>
      <c r="BI19" s="135">
        <v>0.3254337706305544</v>
      </c>
      <c r="BJ19" s="135">
        <v>0.3254337706305544</v>
      </c>
      <c r="BK19" s="135">
        <v>0.3254337706305544</v>
      </c>
    </row>
    <row r="20" spans="1:96" x14ac:dyDescent="0.35">
      <c r="A20" s="136" t="s">
        <v>10</v>
      </c>
      <c r="B20" s="127">
        <f>'Initial demand info'!F21</f>
        <v>20397.752330000003</v>
      </c>
      <c r="C20" s="128">
        <f t="shared" ref="C20:F20" si="62">B20+($G20-$B20)/5</f>
        <v>19778.590828022116</v>
      </c>
      <c r="D20" s="128">
        <f t="shared" si="62"/>
        <v>19159.429326044228</v>
      </c>
      <c r="E20" s="128">
        <f t="shared" si="62"/>
        <v>18540.267824066341</v>
      </c>
      <c r="F20" s="128">
        <f t="shared" si="62"/>
        <v>17921.106322088453</v>
      </c>
      <c r="G20" s="133">
        <f t="shared" si="54"/>
        <v>17301.944820110559</v>
      </c>
      <c r="H20" s="133">
        <f t="shared" si="51"/>
        <v>16899.37117127324</v>
      </c>
      <c r="I20" s="133">
        <f t="shared" si="51"/>
        <v>16496.099267521811</v>
      </c>
      <c r="J20" s="133">
        <f t="shared" si="51"/>
        <v>16092.110475567773</v>
      </c>
      <c r="K20" s="133">
        <f t="shared" si="51"/>
        <v>15687.385493187245</v>
      </c>
      <c r="L20" s="133">
        <f t="shared" si="51"/>
        <v>15281.904318930643</v>
      </c>
      <c r="M20" s="133">
        <f t="shared" si="51"/>
        <v>15097.639245933966</v>
      </c>
      <c r="N20" s="133">
        <f t="shared" si="51"/>
        <v>14913.374172937289</v>
      </c>
      <c r="O20" s="133">
        <f t="shared" si="51"/>
        <v>14729.109099940613</v>
      </c>
      <c r="P20" s="133">
        <f t="shared" si="51"/>
        <v>14544.844026943936</v>
      </c>
      <c r="Q20" s="133">
        <f t="shared" si="51"/>
        <v>14360.578953947252</v>
      </c>
      <c r="R20" s="133">
        <f t="shared" si="51"/>
        <v>14228.195139923964</v>
      </c>
      <c r="S20" s="133">
        <f t="shared" si="51"/>
        <v>14095.811325900677</v>
      </c>
      <c r="T20" s="133">
        <f t="shared" si="51"/>
        <v>13963.427511877389</v>
      </c>
      <c r="U20" s="133">
        <f t="shared" si="51"/>
        <v>13831.043697854102</v>
      </c>
      <c r="V20" s="133">
        <f t="shared" si="51"/>
        <v>13698.659883830813</v>
      </c>
      <c r="W20" s="133">
        <f t="shared" si="51"/>
        <v>13605.754661968449</v>
      </c>
      <c r="X20" s="133">
        <f t="shared" si="51"/>
        <v>13512.849440106087</v>
      </c>
      <c r="Y20" s="133">
        <f t="shared" si="51"/>
        <v>13419.944218243723</v>
      </c>
      <c r="Z20" s="133">
        <f t="shared" si="51"/>
        <v>13327.03899638136</v>
      </c>
      <c r="AA20" s="133">
        <f t="shared" si="51"/>
        <v>13234.133774518992</v>
      </c>
      <c r="AB20" s="133">
        <f t="shared" si="51"/>
        <v>13352.932831070502</v>
      </c>
      <c r="AC20" s="133">
        <f t="shared" si="51"/>
        <v>13471.731887622012</v>
      </c>
      <c r="AD20" s="133">
        <f t="shared" si="51"/>
        <v>13590.530944173523</v>
      </c>
      <c r="AE20" s="133">
        <f t="shared" si="51"/>
        <v>13709.330000725033</v>
      </c>
      <c r="AF20" s="133">
        <f t="shared" si="51"/>
        <v>13828.129057276543</v>
      </c>
      <c r="AG20" s="161">
        <f t="shared" si="55"/>
        <v>7.4782030304806874E-2</v>
      </c>
      <c r="AH20" s="161">
        <f t="shared" si="56"/>
        <v>7.1569725701900191E-2</v>
      </c>
      <c r="AI20" s="161">
        <f t="shared" si="57"/>
        <v>6.8439841925881498E-2</v>
      </c>
      <c r="AJ20" s="161">
        <f t="shared" si="58"/>
        <v>6.5389247044361942E-2</v>
      </c>
      <c r="AK20" s="161">
        <f t="shared" si="59"/>
        <v>6.2414965821747444E-2</v>
      </c>
      <c r="AL20" s="128">
        <v>5.9514170040485835E-2</v>
      </c>
      <c r="AM20" s="128">
        <v>5.8564077432001968E-2</v>
      </c>
      <c r="AN20" s="128">
        <v>5.7597231377719188E-2</v>
      </c>
      <c r="AO20" s="128">
        <v>5.6613184803391815E-2</v>
      </c>
      <c r="AP20" s="128">
        <v>5.5611474584801215E-2</v>
      </c>
      <c r="AQ20" s="128">
        <v>5.4591620820990262E-2</v>
      </c>
      <c r="AR20" s="128">
        <v>5.4591620820990262E-2</v>
      </c>
      <c r="AS20" s="128">
        <v>5.4591620820990262E-2</v>
      </c>
      <c r="AT20" s="128">
        <v>5.4591620820990262E-2</v>
      </c>
      <c r="AU20" s="128">
        <v>5.4591620820990262E-2</v>
      </c>
      <c r="AV20" s="128">
        <v>5.4591620820990262E-2</v>
      </c>
      <c r="AW20" s="128">
        <v>5.4591620820990262E-2</v>
      </c>
      <c r="AX20" s="128">
        <v>5.4591620820990262E-2</v>
      </c>
      <c r="AY20" s="128">
        <v>5.4591620820990262E-2</v>
      </c>
      <c r="AZ20" s="128">
        <v>5.4591620820990262E-2</v>
      </c>
      <c r="BA20" s="128">
        <v>5.4591620820990262E-2</v>
      </c>
      <c r="BB20" s="128">
        <v>5.4591620820990262E-2</v>
      </c>
      <c r="BC20" s="128">
        <v>5.4591620820990262E-2</v>
      </c>
      <c r="BD20" s="128">
        <v>5.4591620820990262E-2</v>
      </c>
      <c r="BE20" s="128">
        <v>5.4591620820990262E-2</v>
      </c>
      <c r="BF20" s="130">
        <v>5.4591620820990262E-2</v>
      </c>
      <c r="BG20" s="130">
        <v>5.4591620820990262E-2</v>
      </c>
      <c r="BH20" s="130">
        <v>5.4591620820990262E-2</v>
      </c>
      <c r="BI20" s="130">
        <v>5.4591620820990262E-2</v>
      </c>
      <c r="BJ20" s="130">
        <v>5.4591620820990262E-2</v>
      </c>
      <c r="BK20" s="130">
        <v>5.4591620820990262E-2</v>
      </c>
    </row>
    <row r="21" spans="1:96" x14ac:dyDescent="0.35">
      <c r="A21" s="131" t="s">
        <v>14</v>
      </c>
      <c r="B21" s="132">
        <f>'Initial demand info'!F22</f>
        <v>4760.8800600000004</v>
      </c>
      <c r="C21" s="128">
        <f t="shared" ref="C21:F21" si="63">B21+($G21-$B21)/5</f>
        <v>7881.1345974954111</v>
      </c>
      <c r="D21" s="128">
        <f t="shared" si="63"/>
        <v>11001.389134990823</v>
      </c>
      <c r="E21" s="128">
        <f t="shared" si="63"/>
        <v>14121.643672486232</v>
      </c>
      <c r="F21" s="128">
        <f t="shared" si="63"/>
        <v>17241.898209981642</v>
      </c>
      <c r="G21" s="133">
        <f t="shared" si="54"/>
        <v>20362.152747477052</v>
      </c>
      <c r="H21" s="133">
        <f t="shared" si="51"/>
        <v>19515.591812851108</v>
      </c>
      <c r="I21" s="133">
        <f t="shared" si="51"/>
        <v>18667.259686136986</v>
      </c>
      <c r="J21" s="133">
        <f t="shared" si="51"/>
        <v>17817.109102170489</v>
      </c>
      <c r="K21" s="133">
        <f t="shared" si="51"/>
        <v>16965.091098967205</v>
      </c>
      <c r="L21" s="133">
        <f t="shared" si="51"/>
        <v>16111.154940888124</v>
      </c>
      <c r="M21" s="133">
        <f t="shared" si="51"/>
        <v>15916.890987961395</v>
      </c>
      <c r="N21" s="133">
        <f t="shared" si="51"/>
        <v>15722.627035034666</v>
      </c>
      <c r="O21" s="133">
        <f t="shared" si="51"/>
        <v>15528.363082107937</v>
      </c>
      <c r="P21" s="133">
        <f t="shared" si="51"/>
        <v>15334.099129181208</v>
      </c>
      <c r="Q21" s="133">
        <f t="shared" si="51"/>
        <v>15139.835176254472</v>
      </c>
      <c r="R21" s="133">
        <f t="shared" si="51"/>
        <v>15000.267744415967</v>
      </c>
      <c r="S21" s="133">
        <f t="shared" si="51"/>
        <v>14860.700312577463</v>
      </c>
      <c r="T21" s="133">
        <f t="shared" si="51"/>
        <v>14721.132880738958</v>
      </c>
      <c r="U21" s="133">
        <f t="shared" si="51"/>
        <v>14581.565448900452</v>
      </c>
      <c r="V21" s="133">
        <f t="shared" si="51"/>
        <v>14441.998017061946</v>
      </c>
      <c r="W21" s="133">
        <f t="shared" si="51"/>
        <v>14344.051426571392</v>
      </c>
      <c r="X21" s="133">
        <f t="shared" si="51"/>
        <v>14246.104836080838</v>
      </c>
      <c r="Y21" s="133">
        <f t="shared" si="51"/>
        <v>14148.158245590284</v>
      </c>
      <c r="Z21" s="133">
        <f t="shared" si="51"/>
        <v>14050.211655099731</v>
      </c>
      <c r="AA21" s="133">
        <f t="shared" si="51"/>
        <v>13952.265064609173</v>
      </c>
      <c r="AB21" s="133">
        <f t="shared" si="51"/>
        <v>14077.510581593711</v>
      </c>
      <c r="AC21" s="133">
        <f t="shared" si="51"/>
        <v>14202.756098578249</v>
      </c>
      <c r="AD21" s="133">
        <f t="shared" si="51"/>
        <v>14328.001615562787</v>
      </c>
      <c r="AE21" s="133">
        <f t="shared" si="51"/>
        <v>14453.247132547325</v>
      </c>
      <c r="AF21" s="133">
        <f t="shared" si="51"/>
        <v>14578.492649531861</v>
      </c>
      <c r="AG21" s="161">
        <f t="shared" si="55"/>
        <v>1.7454289627825418E-2</v>
      </c>
      <c r="AH21" s="161">
        <f t="shared" si="56"/>
        <v>2.8518242086456463E-2</v>
      </c>
      <c r="AI21" s="161">
        <f t="shared" si="57"/>
        <v>3.9298317322029402E-2</v>
      </c>
      <c r="AJ21" s="161">
        <f t="shared" si="58"/>
        <v>4.9805302465696935E-2</v>
      </c>
      <c r="AK21" s="161">
        <f t="shared" si="59"/>
        <v>6.0049444947026138E-2</v>
      </c>
      <c r="AL21" s="133">
        <v>7.0040485829959517E-2</v>
      </c>
      <c r="AM21" s="133">
        <v>6.7630482724822361E-2</v>
      </c>
      <c r="AN21" s="133">
        <v>6.51779828609097E-2</v>
      </c>
      <c r="AO21" s="133">
        <v>6.2681852190539553E-2</v>
      </c>
      <c r="AP21" s="133">
        <v>6.0140915953699067E-2</v>
      </c>
      <c r="AQ21" s="133">
        <v>5.7553956834532384E-2</v>
      </c>
      <c r="AR21" s="133">
        <v>5.7553956834532384E-2</v>
      </c>
      <c r="AS21" s="133">
        <v>5.7553956834532384E-2</v>
      </c>
      <c r="AT21" s="133">
        <v>5.7553956834532384E-2</v>
      </c>
      <c r="AU21" s="133">
        <v>5.7553956834532384E-2</v>
      </c>
      <c r="AV21" s="133">
        <v>5.7553956834532384E-2</v>
      </c>
      <c r="AW21" s="133">
        <v>5.7553956834532384E-2</v>
      </c>
      <c r="AX21" s="133">
        <v>5.7553956834532384E-2</v>
      </c>
      <c r="AY21" s="133">
        <v>5.7553956834532384E-2</v>
      </c>
      <c r="AZ21" s="133">
        <v>5.7553956834532384E-2</v>
      </c>
      <c r="BA21" s="133">
        <v>5.7553956834532384E-2</v>
      </c>
      <c r="BB21" s="133">
        <v>5.7553956834532384E-2</v>
      </c>
      <c r="BC21" s="133">
        <v>5.7553956834532384E-2</v>
      </c>
      <c r="BD21" s="133">
        <v>5.7553956834532384E-2</v>
      </c>
      <c r="BE21" s="133">
        <v>5.7553956834532384E-2</v>
      </c>
      <c r="BF21" s="135">
        <v>5.7553956834532384E-2</v>
      </c>
      <c r="BG21" s="135">
        <v>5.7553956834532384E-2</v>
      </c>
      <c r="BH21" s="135">
        <v>5.7553956834532384E-2</v>
      </c>
      <c r="BI21" s="135">
        <v>5.7553956834532384E-2</v>
      </c>
      <c r="BJ21" s="135">
        <v>5.7553956834532384E-2</v>
      </c>
      <c r="BK21" s="135">
        <v>5.7553956834532384E-2</v>
      </c>
    </row>
    <row r="22" spans="1:96" ht="15" thickBot="1" x14ac:dyDescent="0.4">
      <c r="A22" s="136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30"/>
      <c r="BG22" s="130"/>
      <c r="BH22" s="130"/>
      <c r="BI22" s="130"/>
      <c r="BJ22" s="130"/>
      <c r="BK22" s="130"/>
    </row>
    <row r="23" spans="1:96" x14ac:dyDescent="0.35">
      <c r="A23" s="43" t="s">
        <v>6</v>
      </c>
      <c r="B23" s="124">
        <f>'Initial demand info'!F24</f>
        <v>336996.20653999998</v>
      </c>
      <c r="C23" s="147">
        <f>B23+($G23-$B23)/5</f>
        <v>350518.87592276727</v>
      </c>
      <c r="D23" s="147">
        <f t="shared" ref="D23:F23" si="64">C23+($G23-$B23)/5</f>
        <v>364041.54530553456</v>
      </c>
      <c r="E23" s="147">
        <f t="shared" si="64"/>
        <v>377564.21468830184</v>
      </c>
      <c r="F23" s="147">
        <f t="shared" si="64"/>
        <v>391086.88407106913</v>
      </c>
      <c r="G23" s="163">
        <f>'Initial demand info'!K35</f>
        <v>404609.55345383642</v>
      </c>
      <c r="H23" s="147">
        <f>G23+($L23-$G23)/5</f>
        <v>397162.89661415468</v>
      </c>
      <c r="I23" s="147">
        <f t="shared" ref="I23:K23" si="65">H23+($L23-$G23)/5</f>
        <v>389716.23977447295</v>
      </c>
      <c r="J23" s="147">
        <f t="shared" si="65"/>
        <v>382269.58293479122</v>
      </c>
      <c r="K23" s="147">
        <f t="shared" si="65"/>
        <v>374822.92609510949</v>
      </c>
      <c r="L23" s="163">
        <f>'Initial demand info'!L35</f>
        <v>367376.26925542764</v>
      </c>
      <c r="M23" s="147">
        <f>L23+($Q23-$L23)/5</f>
        <v>362849.88585341902</v>
      </c>
      <c r="N23" s="147">
        <f t="shared" ref="N23:P23" si="66">M23+($Q23-$L23)/5</f>
        <v>358323.5024514104</v>
      </c>
      <c r="O23" s="147">
        <f t="shared" si="66"/>
        <v>353797.11904940178</v>
      </c>
      <c r="P23" s="147">
        <f t="shared" si="66"/>
        <v>349270.73564739316</v>
      </c>
      <c r="Q23" s="163">
        <f>'Initial demand info'!M35</f>
        <v>344744.35224538465</v>
      </c>
      <c r="R23" s="147">
        <f>Q23+($V23-$Q23)/5</f>
        <v>339041.01782111067</v>
      </c>
      <c r="S23" s="147">
        <f t="shared" ref="S23:U23" si="67">R23+($V23-$Q23)/5</f>
        <v>333337.68339683668</v>
      </c>
      <c r="T23" s="147">
        <f t="shared" si="67"/>
        <v>327634.3489725627</v>
      </c>
      <c r="U23" s="147">
        <f t="shared" si="67"/>
        <v>321931.01454828872</v>
      </c>
      <c r="V23" s="163">
        <f>'Initial demand info'!N35</f>
        <v>316227.68012401467</v>
      </c>
      <c r="W23" s="147">
        <f>V23+($AA23-$V23)/5</f>
        <v>311445.94841352111</v>
      </c>
      <c r="X23" s="147">
        <f t="shared" ref="X23:Y23" si="68">W23+($AA23-$V23)/5</f>
        <v>306664.21670302755</v>
      </c>
      <c r="Y23" s="147">
        <f t="shared" si="68"/>
        <v>301882.48499253398</v>
      </c>
      <c r="Z23" s="147">
        <f>Y23+($AA23-$V23)/5</f>
        <v>297100.75328204042</v>
      </c>
      <c r="AA23" s="163">
        <f>'Initial demand info'!O35</f>
        <v>292319.02157154679</v>
      </c>
      <c r="AB23" s="147">
        <f>AA23+($AF23-$AA23)/5</f>
        <v>290092.72526839352</v>
      </c>
      <c r="AC23" s="147">
        <f t="shared" ref="AC23:AE23" si="69">AB23+($AF23-$AA23)/5</f>
        <v>287866.42896524025</v>
      </c>
      <c r="AD23" s="147">
        <f t="shared" si="69"/>
        <v>285640.13266208698</v>
      </c>
      <c r="AE23" s="147">
        <f t="shared" si="69"/>
        <v>283413.83635893371</v>
      </c>
      <c r="AF23" s="163">
        <f>'Initial demand info'!P35</f>
        <v>281187.54005578056</v>
      </c>
      <c r="AG23" s="138">
        <v>1</v>
      </c>
      <c r="AH23" s="138">
        <v>1</v>
      </c>
      <c r="AI23" s="138">
        <v>1</v>
      </c>
      <c r="AJ23" s="138">
        <v>1</v>
      </c>
      <c r="AK23" s="138">
        <v>1</v>
      </c>
      <c r="AL23" s="138">
        <v>1</v>
      </c>
      <c r="AM23" s="138">
        <v>1</v>
      </c>
      <c r="AN23" s="138">
        <v>1</v>
      </c>
      <c r="AO23" s="138">
        <v>1</v>
      </c>
      <c r="AP23" s="138">
        <v>1</v>
      </c>
      <c r="AQ23" s="138">
        <v>0.99999999999999989</v>
      </c>
      <c r="AR23" s="138">
        <v>0.99999999999999989</v>
      </c>
      <c r="AS23" s="138">
        <v>0.99999999999999989</v>
      </c>
      <c r="AT23" s="138">
        <v>0.99999999999999989</v>
      </c>
      <c r="AU23" s="138">
        <v>0.99999999999999989</v>
      </c>
      <c r="AV23" s="138">
        <v>0.99999999999999989</v>
      </c>
      <c r="AW23" s="138">
        <v>0.99999999999999989</v>
      </c>
      <c r="AX23" s="138">
        <v>0.99999999999999989</v>
      </c>
      <c r="AY23" s="138">
        <v>0.99999999999999989</v>
      </c>
      <c r="AZ23" s="138">
        <v>0.99999999999999989</v>
      </c>
      <c r="BA23" s="138">
        <v>0.99999999999999989</v>
      </c>
      <c r="BB23" s="138">
        <v>0.99999999999999989</v>
      </c>
      <c r="BC23" s="138">
        <v>0.99999999999999989</v>
      </c>
      <c r="BD23" s="138">
        <v>0.99999999999999989</v>
      </c>
      <c r="BE23" s="138">
        <v>0.99999999999999989</v>
      </c>
      <c r="BF23" s="138">
        <v>0.99999999999999989</v>
      </c>
      <c r="BG23" s="138">
        <v>0.99999999999999989</v>
      </c>
      <c r="BH23" s="138">
        <v>0.99999999999999989</v>
      </c>
      <c r="BI23" s="138">
        <v>0.99999999999999989</v>
      </c>
      <c r="BJ23" s="138">
        <v>0.99999999999999989</v>
      </c>
      <c r="BK23" s="139">
        <v>0.99999999999999989</v>
      </c>
    </row>
    <row r="24" spans="1:96" x14ac:dyDescent="0.35">
      <c r="A24" s="140"/>
      <c r="B24" s="129"/>
      <c r="C24" s="153"/>
      <c r="D24" s="153"/>
      <c r="E24" s="153"/>
      <c r="F24" s="153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53"/>
      <c r="BH24" s="153"/>
      <c r="BI24" s="153"/>
      <c r="BJ24" s="153"/>
      <c r="BK24" s="164"/>
    </row>
    <row r="25" spans="1:96" x14ac:dyDescent="0.35">
      <c r="A25" s="141" t="s">
        <v>11</v>
      </c>
      <c r="B25" s="132">
        <f>'Initial demand info'!F25</f>
        <v>10114.180690000001</v>
      </c>
      <c r="C25" s="153">
        <f t="shared" ref="C25:F47" si="70">B25+($G25-$B25)/5</f>
        <v>12666.191207529162</v>
      </c>
      <c r="D25" s="153">
        <f t="shared" si="70"/>
        <v>15218.201725058323</v>
      </c>
      <c r="E25" s="153">
        <f t="shared" si="70"/>
        <v>17770.212242587484</v>
      </c>
      <c r="F25" s="153">
        <f t="shared" si="70"/>
        <v>20322.222760116645</v>
      </c>
      <c r="G25" s="133">
        <f>G$23*AL25</f>
        <v>22874.233277645802</v>
      </c>
      <c r="H25" s="133">
        <f t="shared" ref="H25:AF25" si="71">H$23*AM25</f>
        <v>27148.598209754527</v>
      </c>
      <c r="I25" s="133">
        <f t="shared" si="71"/>
        <v>31397.746579647366</v>
      </c>
      <c r="J25" s="133">
        <f t="shared" si="71"/>
        <v>35620.419289157253</v>
      </c>
      <c r="K25" s="133">
        <f t="shared" si="71"/>
        <v>39815.271996635282</v>
      </c>
      <c r="L25" s="133">
        <f t="shared" si="71"/>
        <v>43980.867778804619</v>
      </c>
      <c r="M25" s="133">
        <f t="shared" si="71"/>
        <v>43438.98664335897</v>
      </c>
      <c r="N25" s="133">
        <f t="shared" si="71"/>
        <v>42897.105507913322</v>
      </c>
      <c r="O25" s="133">
        <f t="shared" si="71"/>
        <v>42355.224372467674</v>
      </c>
      <c r="P25" s="133">
        <f t="shared" si="71"/>
        <v>41813.343237022025</v>
      </c>
      <c r="Q25" s="133">
        <f t="shared" si="71"/>
        <v>41271.462101576391</v>
      </c>
      <c r="R25" s="133">
        <f t="shared" si="71"/>
        <v>40588.680936313111</v>
      </c>
      <c r="S25" s="133">
        <f t="shared" si="71"/>
        <v>39905.89977104983</v>
      </c>
      <c r="T25" s="133">
        <f t="shared" si="71"/>
        <v>39223.118605786542</v>
      </c>
      <c r="U25" s="133">
        <f t="shared" si="71"/>
        <v>38540.337440523261</v>
      </c>
      <c r="V25" s="133">
        <f t="shared" si="71"/>
        <v>37857.556275259965</v>
      </c>
      <c r="W25" s="133">
        <f t="shared" si="71"/>
        <v>37285.105826734361</v>
      </c>
      <c r="X25" s="133">
        <f t="shared" si="71"/>
        <v>36712.65537820875</v>
      </c>
      <c r="Y25" s="133">
        <f t="shared" si="71"/>
        <v>36140.204929683139</v>
      </c>
      <c r="Z25" s="133">
        <f t="shared" si="71"/>
        <v>35567.754481157528</v>
      </c>
      <c r="AA25" s="133">
        <f t="shared" si="71"/>
        <v>34995.30403263191</v>
      </c>
      <c r="AB25" s="133">
        <f t="shared" si="71"/>
        <v>34728.780439412702</v>
      </c>
      <c r="AC25" s="133">
        <f t="shared" si="71"/>
        <v>34462.256846193486</v>
      </c>
      <c r="AD25" s="133">
        <f t="shared" si="71"/>
        <v>34195.733252974278</v>
      </c>
      <c r="AE25" s="133">
        <f t="shared" si="71"/>
        <v>33929.209659755063</v>
      </c>
      <c r="AF25" s="133">
        <f t="shared" si="71"/>
        <v>33662.686066535862</v>
      </c>
      <c r="AG25" s="161">
        <f>B25/B$23</f>
        <v>3.001274344849188E-2</v>
      </c>
      <c r="AH25" s="161">
        <f t="shared" ref="AH25:AK25" si="72">C25/C$23</f>
        <v>3.6135546692555323E-2</v>
      </c>
      <c r="AI25" s="161">
        <f t="shared" si="72"/>
        <v>4.1803475238755834E-2</v>
      </c>
      <c r="AJ25" s="161">
        <f t="shared" si="72"/>
        <v>4.706540384728379E-2</v>
      </c>
      <c r="AK25" s="161">
        <f t="shared" si="72"/>
        <v>5.1963447478907646E-2</v>
      </c>
      <c r="AL25" s="133">
        <v>5.6534090909090749E-2</v>
      </c>
      <c r="AM25" s="133">
        <v>6.8356330465908291E-2</v>
      </c>
      <c r="AN25" s="133">
        <v>8.056566130735815E-2</v>
      </c>
      <c r="AO25" s="133">
        <v>9.3181411441865883E-2</v>
      </c>
      <c r="AP25" s="133">
        <v>0.10622421742295547</v>
      </c>
      <c r="AQ25" s="133">
        <v>0.11971613699475457</v>
      </c>
      <c r="AR25" s="133">
        <v>0.11971613699475457</v>
      </c>
      <c r="AS25" s="133">
        <v>0.11971613699475457</v>
      </c>
      <c r="AT25" s="133">
        <v>0.11971613699475457</v>
      </c>
      <c r="AU25" s="133">
        <v>0.11971613699475457</v>
      </c>
      <c r="AV25" s="133">
        <v>0.11971613699475457</v>
      </c>
      <c r="AW25" s="133">
        <v>0.11971613699475457</v>
      </c>
      <c r="AX25" s="133">
        <v>0.11971613699475457</v>
      </c>
      <c r="AY25" s="133">
        <v>0.11971613699475457</v>
      </c>
      <c r="AZ25" s="133">
        <v>0.11971613699475457</v>
      </c>
      <c r="BA25" s="133">
        <v>0.11971613699475457</v>
      </c>
      <c r="BB25" s="133">
        <v>0.11971613699475457</v>
      </c>
      <c r="BC25" s="133">
        <v>0.11971613699475457</v>
      </c>
      <c r="BD25" s="133">
        <v>0.11971613699475457</v>
      </c>
      <c r="BE25" s="133">
        <v>0.11971613699475457</v>
      </c>
      <c r="BF25" s="133">
        <v>0.11971613699475457</v>
      </c>
      <c r="BG25" s="60">
        <v>0.11971613699475457</v>
      </c>
      <c r="BH25" s="60">
        <v>0.11971613699475457</v>
      </c>
      <c r="BI25" s="60">
        <v>0.11971613699475457</v>
      </c>
      <c r="BJ25" s="60">
        <v>0.11971613699475457</v>
      </c>
      <c r="BK25" s="165">
        <v>0.11971613699475457</v>
      </c>
    </row>
    <row r="26" spans="1:96" x14ac:dyDescent="0.35">
      <c r="A26" s="142" t="s">
        <v>113</v>
      </c>
      <c r="B26" s="129"/>
      <c r="C26" s="153"/>
      <c r="D26" s="153"/>
      <c r="E26" s="153"/>
      <c r="F26" s="153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43">
        <f>Q25/(Q25+Q35)</f>
        <v>0.54494382022471866</v>
      </c>
      <c r="R26" s="143">
        <f t="shared" ref="R26:AA26" si="73">R25/(R25+R35)</f>
        <v>0.54494382022471866</v>
      </c>
      <c r="S26" s="143">
        <f t="shared" si="73"/>
        <v>0.54494382022471866</v>
      </c>
      <c r="T26" s="143">
        <f t="shared" si="73"/>
        <v>0.54494382022471866</v>
      </c>
      <c r="U26" s="143">
        <f t="shared" si="73"/>
        <v>0.54494382022471866</v>
      </c>
      <c r="V26" s="143">
        <f t="shared" si="73"/>
        <v>0.54494382022471854</v>
      </c>
      <c r="W26" s="143">
        <f t="shared" si="73"/>
        <v>0.54494382022471866</v>
      </c>
      <c r="X26" s="143">
        <f t="shared" si="73"/>
        <v>0.54494382022471866</v>
      </c>
      <c r="Y26" s="143">
        <f t="shared" si="73"/>
        <v>0.54494382022471854</v>
      </c>
      <c r="Z26" s="143">
        <f t="shared" si="73"/>
        <v>0.54494382022471854</v>
      </c>
      <c r="AA26" s="143">
        <f t="shared" si="73"/>
        <v>0.54494382022471866</v>
      </c>
      <c r="AB26" s="143"/>
      <c r="AC26" s="143"/>
      <c r="AD26" s="143"/>
      <c r="AE26" s="143"/>
      <c r="AF26" s="143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53"/>
      <c r="BH26" s="153"/>
      <c r="BI26" s="153"/>
      <c r="BJ26" s="153"/>
      <c r="BK26" s="164"/>
    </row>
    <row r="27" spans="1:96" x14ac:dyDescent="0.35">
      <c r="A27" s="144" t="s">
        <v>109</v>
      </c>
      <c r="B27" s="151">
        <f>B25</f>
        <v>10114.180690000001</v>
      </c>
      <c r="C27" s="153">
        <f t="shared" si="70"/>
        <v>12666.191207529162</v>
      </c>
      <c r="D27" s="153">
        <f t="shared" si="70"/>
        <v>15218.201725058323</v>
      </c>
      <c r="E27" s="153">
        <f t="shared" si="70"/>
        <v>17770.212242587484</v>
      </c>
      <c r="F27" s="153">
        <f t="shared" si="70"/>
        <v>20322.222760116645</v>
      </c>
      <c r="G27" s="145">
        <f>G25</f>
        <v>22874.233277645802</v>
      </c>
      <c r="H27" s="145">
        <f t="shared" ref="H27:P27" si="74">H25</f>
        <v>27148.598209754527</v>
      </c>
      <c r="I27" s="145">
        <f t="shared" si="74"/>
        <v>31397.746579647366</v>
      </c>
      <c r="J27" s="145">
        <f t="shared" si="74"/>
        <v>35620.419289157253</v>
      </c>
      <c r="K27" s="145">
        <f t="shared" si="74"/>
        <v>39815.271996635282</v>
      </c>
      <c r="L27" s="145">
        <f t="shared" si="74"/>
        <v>43980.867778804619</v>
      </c>
      <c r="M27" s="145">
        <f t="shared" si="74"/>
        <v>43438.98664335897</v>
      </c>
      <c r="N27" s="145">
        <f t="shared" si="74"/>
        <v>42897.105507913322</v>
      </c>
      <c r="O27" s="145">
        <f t="shared" si="74"/>
        <v>42355.224372467674</v>
      </c>
      <c r="P27" s="145">
        <f t="shared" si="74"/>
        <v>41813.343237022025</v>
      </c>
      <c r="Q27" s="145">
        <f>Q25+Q26*(Q42+Q32)</f>
        <v>41271.462101576391</v>
      </c>
      <c r="R27" s="145">
        <f>R25+R26*(R42+R32)</f>
        <v>49779.64489161699</v>
      </c>
      <c r="S27" s="145">
        <f t="shared" ref="S27:AA27" si="75">S25+S26*(S42+S32)</f>
        <v>58287.827681657596</v>
      </c>
      <c r="T27" s="145">
        <f t="shared" si="75"/>
        <v>66796.010471698188</v>
      </c>
      <c r="U27" s="145">
        <f t="shared" si="75"/>
        <v>75304.193261738808</v>
      </c>
      <c r="V27" s="145">
        <f t="shared" si="75"/>
        <v>83812.376051779371</v>
      </c>
      <c r="W27" s="145">
        <f t="shared" si="75"/>
        <v>92725.296692378135</v>
      </c>
      <c r="X27" s="145">
        <f t="shared" si="75"/>
        <v>101638.2173329769</v>
      </c>
      <c r="Y27" s="145">
        <f t="shared" si="75"/>
        <v>110551.13797357562</v>
      </c>
      <c r="Z27" s="145">
        <f t="shared" si="75"/>
        <v>119464.05861417437</v>
      </c>
      <c r="AA27" s="145">
        <f t="shared" si="75"/>
        <v>128376.97925477309</v>
      </c>
      <c r="AB27" s="145">
        <f>AB$23*BG27</f>
        <v>127399.26253696129</v>
      </c>
      <c r="AC27" s="145">
        <f t="shared" ref="AC27" si="76">AC$23*BH27</f>
        <v>126421.54581914951</v>
      </c>
      <c r="AD27" s="145">
        <f t="shared" ref="AD27" si="77">AD$23*BI27</f>
        <v>125443.82910133773</v>
      </c>
      <c r="AE27" s="145">
        <f t="shared" ref="AE27" si="78">AE$23*BJ27</f>
        <v>124466.11238352594</v>
      </c>
      <c r="AF27" s="145">
        <f t="shared" ref="AF27" si="79">AF$23*BK27</f>
        <v>123488.39566571421</v>
      </c>
      <c r="AG27" s="161">
        <f>B27/B$23</f>
        <v>3.001274344849188E-2</v>
      </c>
      <c r="AH27" s="161">
        <f t="shared" ref="AH27:AK27" si="80">C27/C$23</f>
        <v>3.6135546692555323E-2</v>
      </c>
      <c r="AI27" s="161">
        <f t="shared" si="80"/>
        <v>4.1803475238755834E-2</v>
      </c>
      <c r="AJ27" s="161">
        <f t="shared" si="80"/>
        <v>4.706540384728379E-2</v>
      </c>
      <c r="AK27" s="161">
        <f t="shared" si="80"/>
        <v>5.1963447478907646E-2</v>
      </c>
      <c r="AL27" s="161">
        <f t="shared" ref="AL27" si="81">G27/G$23</f>
        <v>5.6534090909090756E-2</v>
      </c>
      <c r="AM27" s="161">
        <f t="shared" ref="AM27" si="82">H27/H$23</f>
        <v>6.8356330465908291E-2</v>
      </c>
      <c r="AN27" s="161">
        <f t="shared" ref="AN27" si="83">I27/I$23</f>
        <v>8.056566130735815E-2</v>
      </c>
      <c r="AO27" s="161">
        <f t="shared" ref="AO27" si="84">J27/J$23</f>
        <v>9.3181411441865883E-2</v>
      </c>
      <c r="AP27" s="161">
        <f t="shared" ref="AP27" si="85">K27/K$23</f>
        <v>0.10622421742295547</v>
      </c>
      <c r="AQ27" s="161">
        <f t="shared" ref="AQ27" si="86">L27/L$23</f>
        <v>0.11971613699475457</v>
      </c>
      <c r="AR27" s="161">
        <f t="shared" ref="AR27" si="87">M27/M$23</f>
        <v>0.11971613699475457</v>
      </c>
      <c r="AS27" s="161">
        <f t="shared" ref="AS27" si="88">N27/N$23</f>
        <v>0.11971613699475457</v>
      </c>
      <c r="AT27" s="161">
        <f t="shared" ref="AT27" si="89">O27/O$23</f>
        <v>0.11971613699475457</v>
      </c>
      <c r="AU27" s="161">
        <f t="shared" ref="AU27" si="90">P27/P$23</f>
        <v>0.11971613699475456</v>
      </c>
      <c r="AV27" s="161">
        <f t="shared" ref="AV27:AW27" si="91">Q27/Q$23</f>
        <v>0.11971613699475456</v>
      </c>
      <c r="AW27" s="161">
        <f t="shared" si="91"/>
        <v>0.14682484500410031</v>
      </c>
      <c r="AX27" s="161">
        <f t="shared" ref="AX27" si="92">S27/S$23</f>
        <v>0.17486120107298597</v>
      </c>
      <c r="AY27" s="161">
        <f t="shared" ref="AY27" si="93">T27/T$23</f>
        <v>0.20387364963766949</v>
      </c>
      <c r="AZ27" s="161">
        <f t="shared" ref="AZ27" si="94">U27/U$23</f>
        <v>0.2339140681036912</v>
      </c>
      <c r="BA27" s="161">
        <f t="shared" ref="BA27" si="95">V27/V$23</f>
        <v>0.26503807642300875</v>
      </c>
      <c r="BB27" s="161">
        <f t="shared" ref="BB27" si="96">W27/W$23</f>
        <v>0.29772516600300253</v>
      </c>
      <c r="BC27" s="161">
        <f t="shared" ref="BC27" si="97">X27/X$23</f>
        <v>0.33143161737517934</v>
      </c>
      <c r="BD27" s="161">
        <f t="shared" ref="BD27" si="98">Y27/Y$23</f>
        <v>0.36620586973209035</v>
      </c>
      <c r="BE27" s="161">
        <f t="shared" ref="BE27" si="99">Z27/Z$23</f>
        <v>0.40209948071308343</v>
      </c>
      <c r="BF27" s="161">
        <f t="shared" ref="BF27" si="100">AA27/AA$23</f>
        <v>0.43916738146084711</v>
      </c>
      <c r="BG27" s="162">
        <v>0.43916738146084711</v>
      </c>
      <c r="BH27" s="162">
        <v>0.43916738146084711</v>
      </c>
      <c r="BI27" s="162">
        <v>0.43916738146084711</v>
      </c>
      <c r="BJ27" s="162">
        <v>0.43916738146084711</v>
      </c>
      <c r="BK27" s="166">
        <v>0.43916738146084711</v>
      </c>
      <c r="BM27" s="144" t="s">
        <v>109</v>
      </c>
      <c r="BN27">
        <f>AG27</f>
        <v>3.001274344849188E-2</v>
      </c>
      <c r="BO27">
        <f t="shared" ref="BO27:CL27" si="101">AH27</f>
        <v>3.6135546692555323E-2</v>
      </c>
      <c r="BP27">
        <f t="shared" si="101"/>
        <v>4.1803475238755834E-2</v>
      </c>
      <c r="BQ27">
        <f t="shared" si="101"/>
        <v>4.706540384728379E-2</v>
      </c>
      <c r="BR27">
        <f t="shared" si="101"/>
        <v>5.1963447478907646E-2</v>
      </c>
      <c r="BS27">
        <f t="shared" si="101"/>
        <v>5.6534090909090756E-2</v>
      </c>
      <c r="BT27">
        <f t="shared" si="101"/>
        <v>6.8356330465908291E-2</v>
      </c>
      <c r="BU27">
        <f t="shared" si="101"/>
        <v>8.056566130735815E-2</v>
      </c>
      <c r="BV27">
        <f t="shared" si="101"/>
        <v>9.3181411441865883E-2</v>
      </c>
      <c r="BW27">
        <f t="shared" si="101"/>
        <v>0.10622421742295547</v>
      </c>
      <c r="BX27">
        <f t="shared" si="101"/>
        <v>0.11971613699475457</v>
      </c>
      <c r="BY27">
        <f t="shared" si="101"/>
        <v>0.11971613699475457</v>
      </c>
      <c r="BZ27">
        <f t="shared" si="101"/>
        <v>0.11971613699475457</v>
      </c>
      <c r="CA27">
        <f t="shared" si="101"/>
        <v>0.11971613699475457</v>
      </c>
      <c r="CB27">
        <f t="shared" si="101"/>
        <v>0.11971613699475456</v>
      </c>
      <c r="CC27">
        <f t="shared" si="101"/>
        <v>0.11971613699475456</v>
      </c>
      <c r="CD27">
        <f t="shared" si="101"/>
        <v>0.14682484500410031</v>
      </c>
      <c r="CE27">
        <f t="shared" si="101"/>
        <v>0.17486120107298597</v>
      </c>
      <c r="CF27">
        <f t="shared" si="101"/>
        <v>0.20387364963766949</v>
      </c>
      <c r="CG27">
        <f t="shared" si="101"/>
        <v>0.2339140681036912</v>
      </c>
      <c r="CH27">
        <f t="shared" si="101"/>
        <v>0.26503807642300875</v>
      </c>
      <c r="CI27">
        <f t="shared" si="101"/>
        <v>0.29772516600300253</v>
      </c>
      <c r="CJ27">
        <f t="shared" si="101"/>
        <v>0.33143161737517934</v>
      </c>
      <c r="CK27">
        <f t="shared" si="101"/>
        <v>0.36620586973209035</v>
      </c>
      <c r="CL27">
        <f t="shared" si="101"/>
        <v>0.40209948071308343</v>
      </c>
      <c r="CM27">
        <f>BF27</f>
        <v>0.43916738146084711</v>
      </c>
      <c r="CN27">
        <f t="shared" ref="CN27:CR27" si="102">BG27</f>
        <v>0.43916738146084711</v>
      </c>
      <c r="CO27">
        <f t="shared" si="102"/>
        <v>0.43916738146084711</v>
      </c>
      <c r="CP27">
        <f t="shared" si="102"/>
        <v>0.43916738146084711</v>
      </c>
      <c r="CQ27">
        <f t="shared" si="102"/>
        <v>0.43916738146084711</v>
      </c>
      <c r="CR27">
        <f t="shared" si="102"/>
        <v>0.43916738146084711</v>
      </c>
    </row>
    <row r="28" spans="1:96" x14ac:dyDescent="0.35">
      <c r="A28" s="142"/>
      <c r="B28" s="129"/>
      <c r="C28" s="153"/>
      <c r="D28" s="153"/>
      <c r="E28" s="153"/>
      <c r="F28" s="153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53"/>
      <c r="BH28" s="153"/>
      <c r="BI28" s="153"/>
      <c r="BJ28" s="153"/>
      <c r="BK28" s="164"/>
      <c r="BM28" s="144" t="s">
        <v>111</v>
      </c>
      <c r="BN28">
        <f>AG37</f>
        <v>4.3647087577094491E-2</v>
      </c>
      <c r="BO28">
        <f t="shared" ref="BO28:CM28" si="103">AH37</f>
        <v>4.4916982880222653E-2</v>
      </c>
      <c r="BP28">
        <f t="shared" si="103"/>
        <v>4.6092535246087876E-2</v>
      </c>
      <c r="BQ28">
        <f t="shared" si="103"/>
        <v>4.718388150678051E-2</v>
      </c>
      <c r="BR28">
        <f t="shared" si="103"/>
        <v>4.8199756483384856E-2</v>
      </c>
      <c r="BS28">
        <f t="shared" si="103"/>
        <v>4.914772727272728E-2</v>
      </c>
      <c r="BT28">
        <f t="shared" si="103"/>
        <v>5.8657121413313341E-2</v>
      </c>
      <c r="BU28">
        <f t="shared" si="103"/>
        <v>6.8477878183311858E-2</v>
      </c>
      <c r="BV28">
        <f t="shared" si="103"/>
        <v>7.8625544353636057E-2</v>
      </c>
      <c r="BW28">
        <f t="shared" si="103"/>
        <v>8.9116719242902293E-2</v>
      </c>
      <c r="BX28">
        <f t="shared" si="103"/>
        <v>9.99691453255169E-2</v>
      </c>
      <c r="BY28">
        <f t="shared" si="103"/>
        <v>9.9969145325516887E-2</v>
      </c>
      <c r="BZ28">
        <f t="shared" si="103"/>
        <v>9.99691453255169E-2</v>
      </c>
      <c r="CA28">
        <f t="shared" si="103"/>
        <v>9.9969145325516887E-2</v>
      </c>
      <c r="CB28">
        <f t="shared" si="103"/>
        <v>9.9969145325516887E-2</v>
      </c>
      <c r="CC28">
        <f t="shared" si="103"/>
        <v>9.9969145325516887E-2</v>
      </c>
      <c r="CD28">
        <f t="shared" si="103"/>
        <v>0.1226063138694036</v>
      </c>
      <c r="CE28">
        <f t="shared" si="103"/>
        <v>0.14601811635991638</v>
      </c>
      <c r="CF28">
        <f t="shared" si="103"/>
        <v>0.1702450063984666</v>
      </c>
      <c r="CG28">
        <f t="shared" si="103"/>
        <v>0.1953303042927734</v>
      </c>
      <c r="CH28">
        <f t="shared" si="103"/>
        <v>0.2213204555697294</v>
      </c>
      <c r="CI28">
        <f t="shared" si="103"/>
        <v>0.24861586027054897</v>
      </c>
      <c r="CJ28">
        <f t="shared" si="103"/>
        <v>0.2767624846122636</v>
      </c>
      <c r="CK28">
        <f t="shared" si="103"/>
        <v>0.30580077781751935</v>
      </c>
      <c r="CL28">
        <f t="shared" si="103"/>
        <v>0.33577379317278166</v>
      </c>
      <c r="CM28">
        <f t="shared" si="103"/>
        <v>0.36672740101369777</v>
      </c>
      <c r="CN28">
        <f t="shared" ref="CN28" si="104">BG37</f>
        <v>0.36672740101369777</v>
      </c>
      <c r="CO28">
        <f t="shared" ref="CO28" si="105">BH37</f>
        <v>0.36672740101369777</v>
      </c>
      <c r="CP28">
        <f t="shared" ref="CP28" si="106">BI37</f>
        <v>0.36672740101369777</v>
      </c>
      <c r="CQ28">
        <f t="shared" ref="CQ28" si="107">BJ37</f>
        <v>0.36672740101369777</v>
      </c>
      <c r="CR28">
        <f t="shared" ref="CR28" si="108">BK37</f>
        <v>0.36672740101369777</v>
      </c>
    </row>
    <row r="29" spans="1:96" x14ac:dyDescent="0.35">
      <c r="A29" s="141" t="s">
        <v>15</v>
      </c>
      <c r="B29" s="132">
        <f>'Initial demand info'!F26</f>
        <v>11248.163840000001</v>
      </c>
      <c r="C29" s="153">
        <f t="shared" si="70"/>
        <v>12125.059439597833</v>
      </c>
      <c r="D29" s="153">
        <f t="shared" si="70"/>
        <v>13001.955039195665</v>
      </c>
      <c r="E29" s="153">
        <f t="shared" si="70"/>
        <v>13878.850638793498</v>
      </c>
      <c r="F29" s="153">
        <f t="shared" si="70"/>
        <v>14755.74623839133</v>
      </c>
      <c r="G29" s="133">
        <f>G$23*AL29</f>
        <v>15632.641837989164</v>
      </c>
      <c r="H29" s="133">
        <f t="shared" ref="H29:AF29" si="109">H$23*AM29</f>
        <v>19306.688929572119</v>
      </c>
      <c r="I29" s="133">
        <f t="shared" si="109"/>
        <v>22959.4592614465</v>
      </c>
      <c r="J29" s="133">
        <f t="shared" si="109"/>
        <v>26589.890455286459</v>
      </c>
      <c r="K29" s="133">
        <f t="shared" si="109"/>
        <v>30196.848207613792</v>
      </c>
      <c r="L29" s="133">
        <f t="shared" si="109"/>
        <v>33779.120098154104</v>
      </c>
      <c r="M29" s="133">
        <f t="shared" si="109"/>
        <v>33362.933040518008</v>
      </c>
      <c r="N29" s="133">
        <f t="shared" si="109"/>
        <v>32946.745982881919</v>
      </c>
      <c r="O29" s="133">
        <f t="shared" si="109"/>
        <v>32530.55892524583</v>
      </c>
      <c r="P29" s="133">
        <f t="shared" si="109"/>
        <v>32114.371867609741</v>
      </c>
      <c r="Q29" s="133">
        <f t="shared" si="109"/>
        <v>31698.18480997366</v>
      </c>
      <c r="R29" s="133">
        <f t="shared" si="109"/>
        <v>31173.780719127117</v>
      </c>
      <c r="S29" s="133">
        <f t="shared" si="109"/>
        <v>30649.376628280574</v>
      </c>
      <c r="T29" s="133">
        <f t="shared" si="109"/>
        <v>30124.972537434031</v>
      </c>
      <c r="U29" s="133">
        <f t="shared" si="109"/>
        <v>29600.568446587487</v>
      </c>
      <c r="V29" s="133">
        <f t="shared" si="109"/>
        <v>29076.16435574093</v>
      </c>
      <c r="W29" s="133">
        <f t="shared" si="109"/>
        <v>28636.498805069205</v>
      </c>
      <c r="X29" s="133">
        <f t="shared" si="109"/>
        <v>28196.833254397476</v>
      </c>
      <c r="Y29" s="133">
        <f t="shared" si="109"/>
        <v>27757.167703725743</v>
      </c>
      <c r="Z29" s="133">
        <f t="shared" si="109"/>
        <v>27317.502153054011</v>
      </c>
      <c r="AA29" s="133">
        <f>AA$23*BF29</f>
        <v>26877.836602382275</v>
      </c>
      <c r="AB29" s="133">
        <f t="shared" si="109"/>
        <v>26673.135492126279</v>
      </c>
      <c r="AC29" s="133">
        <f t="shared" si="109"/>
        <v>26468.434381870287</v>
      </c>
      <c r="AD29" s="133">
        <f t="shared" si="109"/>
        <v>26263.733271614292</v>
      </c>
      <c r="AE29" s="133">
        <f t="shared" si="109"/>
        <v>26059.0321613583</v>
      </c>
      <c r="AF29" s="133">
        <f t="shared" si="109"/>
        <v>25854.331051102319</v>
      </c>
      <c r="AG29" s="161">
        <f>B29/B$23</f>
        <v>3.3377716489710378E-2</v>
      </c>
      <c r="AH29" s="161">
        <f t="shared" ref="AH29:AK29" si="110">C29/C$23</f>
        <v>3.459174461768344E-2</v>
      </c>
      <c r="AI29" s="161">
        <f t="shared" si="110"/>
        <v>3.5715580287088718E-2</v>
      </c>
      <c r="AJ29" s="161">
        <f t="shared" si="110"/>
        <v>3.6758914375005544E-2</v>
      </c>
      <c r="AK29" s="161">
        <f t="shared" si="110"/>
        <v>3.7730097426918269E-2</v>
      </c>
      <c r="AL29" s="133">
        <v>3.8636363636363712E-2</v>
      </c>
      <c r="AM29" s="133">
        <v>4.8611512037411299E-2</v>
      </c>
      <c r="AN29" s="133">
        <v>5.8913273090012971E-2</v>
      </c>
      <c r="AO29" s="133">
        <v>6.9557955019984546E-2</v>
      </c>
      <c r="AP29" s="133">
        <v>8.0562970152875571E-2</v>
      </c>
      <c r="AQ29" s="133">
        <v>9.1946929959888929E-2</v>
      </c>
      <c r="AR29" s="133">
        <v>9.1946929959888929E-2</v>
      </c>
      <c r="AS29" s="133">
        <v>9.1946929959888929E-2</v>
      </c>
      <c r="AT29" s="133">
        <v>9.1946929959888929E-2</v>
      </c>
      <c r="AU29" s="133">
        <v>9.1946929959888929E-2</v>
      </c>
      <c r="AV29" s="133">
        <v>9.1946929959888929E-2</v>
      </c>
      <c r="AW29" s="133">
        <v>9.1946929959888929E-2</v>
      </c>
      <c r="AX29" s="133">
        <v>9.1946929959888929E-2</v>
      </c>
      <c r="AY29" s="133">
        <v>9.1946929959888929E-2</v>
      </c>
      <c r="AZ29" s="133">
        <v>9.1946929959888929E-2</v>
      </c>
      <c r="BA29" s="133">
        <v>9.1946929959888901E-2</v>
      </c>
      <c r="BB29" s="133">
        <v>9.1946929959888929E-2</v>
      </c>
      <c r="BC29" s="133">
        <v>9.1946929959888929E-2</v>
      </c>
      <c r="BD29" s="133">
        <v>9.1946929959888929E-2</v>
      </c>
      <c r="BE29" s="133">
        <v>9.1946929959888929E-2</v>
      </c>
      <c r="BF29" s="133">
        <v>9.1946929959888929E-2</v>
      </c>
      <c r="BG29" s="60">
        <v>9.1946929959888929E-2</v>
      </c>
      <c r="BH29" s="60">
        <v>9.1946929959888929E-2</v>
      </c>
      <c r="BI29" s="60">
        <v>9.1946929959888929E-2</v>
      </c>
      <c r="BJ29" s="60">
        <v>9.1946929959888929E-2</v>
      </c>
      <c r="BK29" s="165">
        <v>9.1946929959888929E-2</v>
      </c>
      <c r="BM29" s="144" t="s">
        <v>114</v>
      </c>
      <c r="BN29">
        <f>AG43</f>
        <v>0.8929624524847033</v>
      </c>
      <c r="BO29">
        <f t="shared" ref="BO29:CM29" si="111">AH43</f>
        <v>0.88339816820283423</v>
      </c>
      <c r="BP29">
        <f t="shared" si="111"/>
        <v>0.87454443279042438</v>
      </c>
      <c r="BQ29">
        <f t="shared" si="111"/>
        <v>0.86632490015532682</v>
      </c>
      <c r="BR29">
        <f t="shared" si="111"/>
        <v>0.85867378352614709</v>
      </c>
      <c r="BS29">
        <f t="shared" si="111"/>
        <v>0.85153409090909082</v>
      </c>
      <c r="BT29">
        <f t="shared" si="111"/>
        <v>0.81906783672998074</v>
      </c>
      <c r="BU29">
        <f t="shared" si="111"/>
        <v>0.7855712944490082</v>
      </c>
      <c r="BV29">
        <f t="shared" si="111"/>
        <v>0.75099302034242077</v>
      </c>
      <c r="BW29">
        <f t="shared" si="111"/>
        <v>0.71527808784275648</v>
      </c>
      <c r="BX29">
        <f t="shared" si="111"/>
        <v>0.67836778771983952</v>
      </c>
      <c r="BY29">
        <f t="shared" si="111"/>
        <v>0.67836778771983952</v>
      </c>
      <c r="BZ29">
        <f t="shared" si="111"/>
        <v>0.67836778771983952</v>
      </c>
      <c r="CA29">
        <f t="shared" si="111"/>
        <v>0.67836778771983952</v>
      </c>
      <c r="CB29">
        <f t="shared" si="111"/>
        <v>0.67836778771983952</v>
      </c>
      <c r="CC29">
        <f t="shared" si="111"/>
        <v>0.67836778771983952</v>
      </c>
      <c r="CD29">
        <f t="shared" si="111"/>
        <v>0.6345597188213935</v>
      </c>
      <c r="CE29">
        <f t="shared" si="111"/>
        <v>0.5892525570819378</v>
      </c>
      <c r="CF29">
        <f t="shared" si="111"/>
        <v>0.54236801558346037</v>
      </c>
      <c r="CG29">
        <f t="shared" si="111"/>
        <v>0.49382225967934529</v>
      </c>
      <c r="CH29">
        <f t="shared" si="111"/>
        <v>0.44352540671319102</v>
      </c>
      <c r="CI29">
        <f t="shared" si="111"/>
        <v>0.39070259155297116</v>
      </c>
      <c r="CJ29">
        <f t="shared" si="111"/>
        <v>0.33623247281749413</v>
      </c>
      <c r="CK29">
        <f t="shared" si="111"/>
        <v>0.28003677206265476</v>
      </c>
      <c r="CL29">
        <f t="shared" si="111"/>
        <v>0.22203217138868439</v>
      </c>
      <c r="CM29">
        <f t="shared" si="111"/>
        <v>0.16212990126504168</v>
      </c>
      <c r="CN29">
        <f t="shared" ref="CN29" si="112">BG43</f>
        <v>0.16212990126504168</v>
      </c>
      <c r="CO29">
        <f t="shared" ref="CO29" si="113">BH43</f>
        <v>0.16212990126504168</v>
      </c>
      <c r="CP29">
        <f t="shared" ref="CP29" si="114">BI43</f>
        <v>0.16212990126504168</v>
      </c>
      <c r="CQ29">
        <f t="shared" ref="CQ29" si="115">BJ43</f>
        <v>0.16212990126504168</v>
      </c>
      <c r="CR29">
        <f t="shared" ref="CR29" si="116">BK43</f>
        <v>0.16212990126504168</v>
      </c>
    </row>
    <row r="30" spans="1:96" x14ac:dyDescent="0.35">
      <c r="A30" s="142"/>
      <c r="B30" s="129"/>
      <c r="C30" s="153"/>
      <c r="D30" s="153"/>
      <c r="E30" s="153"/>
      <c r="F30" s="153"/>
      <c r="G30" s="128"/>
      <c r="H30" s="128"/>
      <c r="I30" s="128"/>
      <c r="J30" s="128"/>
      <c r="K30" s="128"/>
      <c r="L30" s="128"/>
      <c r="M30" s="128"/>
      <c r="N30" s="128"/>
      <c r="O30" s="128"/>
      <c r="P30" s="128" t="s">
        <v>115</v>
      </c>
      <c r="Q30" s="128">
        <f>Q29*0.761</f>
        <v>24122.318640389956</v>
      </c>
      <c r="R30" s="128">
        <f>R29*0.761</f>
        <v>23723.247127255738</v>
      </c>
      <c r="S30" s="128">
        <f t="shared" ref="S30:AA30" si="117">S29*0.761</f>
        <v>23324.175614121516</v>
      </c>
      <c r="T30" s="128">
        <f t="shared" si="117"/>
        <v>22925.104100987297</v>
      </c>
      <c r="U30" s="128">
        <f t="shared" si="117"/>
        <v>22526.032587853078</v>
      </c>
      <c r="V30" s="128">
        <f t="shared" si="117"/>
        <v>22126.961074718849</v>
      </c>
      <c r="W30" s="128">
        <f t="shared" si="117"/>
        <v>21792.375590657666</v>
      </c>
      <c r="X30" s="128">
        <f t="shared" si="117"/>
        <v>21457.79010659648</v>
      </c>
      <c r="Y30" s="128">
        <f t="shared" si="117"/>
        <v>21123.20462253529</v>
      </c>
      <c r="Z30" s="128">
        <f t="shared" si="117"/>
        <v>20788.619138474103</v>
      </c>
      <c r="AA30" s="128">
        <f t="shared" si="117"/>
        <v>20454.03365441291</v>
      </c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53"/>
      <c r="BH30" s="153"/>
      <c r="BI30" s="153"/>
      <c r="BJ30" s="153"/>
      <c r="BK30" s="164"/>
      <c r="BM30" s="144" t="s">
        <v>110</v>
      </c>
      <c r="BN30">
        <f>AG33</f>
        <v>3.3377716489710378E-2</v>
      </c>
      <c r="BO30">
        <f t="shared" ref="BO30:CM30" si="118">AH33</f>
        <v>3.459174461768344E-2</v>
      </c>
      <c r="BP30">
        <f t="shared" si="118"/>
        <v>3.5715580287088718E-2</v>
      </c>
      <c r="BQ30">
        <f t="shared" si="118"/>
        <v>3.6758914375005544E-2</v>
      </c>
      <c r="BR30">
        <f t="shared" si="118"/>
        <v>3.7730097426918269E-2</v>
      </c>
      <c r="BS30">
        <f t="shared" si="118"/>
        <v>3.8636363636363712E-2</v>
      </c>
      <c r="BT30">
        <f t="shared" si="118"/>
        <v>4.8611512037411299E-2</v>
      </c>
      <c r="BU30">
        <f t="shared" si="118"/>
        <v>5.8913273090012971E-2</v>
      </c>
      <c r="BV30">
        <f t="shared" si="118"/>
        <v>6.9557955019984546E-2</v>
      </c>
      <c r="BW30">
        <f t="shared" si="118"/>
        <v>8.0562970152875571E-2</v>
      </c>
      <c r="BX30">
        <f t="shared" si="118"/>
        <v>9.1946929959888929E-2</v>
      </c>
      <c r="BY30">
        <f t="shared" si="118"/>
        <v>9.1946929959888915E-2</v>
      </c>
      <c r="BZ30">
        <f t="shared" si="118"/>
        <v>9.1946929959888929E-2</v>
      </c>
      <c r="CA30">
        <f t="shared" si="118"/>
        <v>9.1946929959888929E-2</v>
      </c>
      <c r="CB30">
        <f t="shared" si="118"/>
        <v>9.1946929959888929E-2</v>
      </c>
      <c r="CC30">
        <f t="shared" si="118"/>
        <v>9.1946929959888929E-2</v>
      </c>
      <c r="CD30">
        <f t="shared" si="118"/>
        <v>8.6009122305102478E-2</v>
      </c>
      <c r="CE30">
        <f t="shared" si="118"/>
        <v>7.9868125485159799E-2</v>
      </c>
      <c r="CF30">
        <f t="shared" si="118"/>
        <v>7.3513328380403448E-2</v>
      </c>
      <c r="CG30">
        <f t="shared" si="118"/>
        <v>6.6933367924190024E-2</v>
      </c>
      <c r="CH30">
        <f t="shared" si="118"/>
        <v>6.0116061294070718E-2</v>
      </c>
      <c r="CI30">
        <f t="shared" si="118"/>
        <v>5.2956382173477284E-2</v>
      </c>
      <c r="CJ30">
        <f t="shared" si="118"/>
        <v>4.5573425195062869E-2</v>
      </c>
      <c r="CK30">
        <f t="shared" si="118"/>
        <v>3.7956580387735389E-2</v>
      </c>
      <c r="CL30">
        <f t="shared" si="118"/>
        <v>3.0094554725450379E-2</v>
      </c>
      <c r="CM30">
        <f t="shared" si="118"/>
        <v>2.197531626041346E-2</v>
      </c>
      <c r="CN30">
        <f t="shared" ref="CN30" si="119">BG33</f>
        <v>2.197531626041346E-2</v>
      </c>
      <c r="CO30">
        <f t="shared" ref="CO30" si="120">BH33</f>
        <v>2.197531626041346E-2</v>
      </c>
      <c r="CP30">
        <f t="shared" ref="CP30" si="121">BI33</f>
        <v>2.197531626041346E-2</v>
      </c>
      <c r="CQ30">
        <f t="shared" ref="CQ30" si="122">BJ33</f>
        <v>2.197531626041346E-2</v>
      </c>
      <c r="CR30">
        <f t="shared" ref="CR30" si="123">BK33</f>
        <v>2.197531626041346E-2</v>
      </c>
    </row>
    <row r="31" spans="1:96" ht="15" thickBot="1" x14ac:dyDescent="0.4">
      <c r="A31" s="141"/>
      <c r="B31" s="134"/>
      <c r="C31" s="153"/>
      <c r="D31" s="153"/>
      <c r="E31" s="153"/>
      <c r="F31" s="153"/>
      <c r="G31" s="133"/>
      <c r="H31" s="133"/>
      <c r="I31" s="133"/>
      <c r="J31" s="133"/>
      <c r="K31" s="133"/>
      <c r="L31" s="133"/>
      <c r="M31" s="133"/>
      <c r="N31" s="133"/>
      <c r="O31" s="133"/>
      <c r="P31" s="133" t="s">
        <v>116</v>
      </c>
      <c r="Q31" s="133">
        <f>Q29*0.761</f>
        <v>24122.318640389956</v>
      </c>
      <c r="R31" s="133">
        <f t="shared" ref="R31:Z31" si="124">Q31+($AA$31-$Q$31)/10</f>
        <v>21710.08677635096</v>
      </c>
      <c r="S31" s="133">
        <f t="shared" si="124"/>
        <v>19297.854912311963</v>
      </c>
      <c r="T31" s="133">
        <f t="shared" si="124"/>
        <v>16885.623048272966</v>
      </c>
      <c r="U31" s="133">
        <f t="shared" si="124"/>
        <v>14473.391184233969</v>
      </c>
      <c r="V31" s="133">
        <f t="shared" si="124"/>
        <v>12061.159320194973</v>
      </c>
      <c r="W31" s="133">
        <f t="shared" si="124"/>
        <v>9648.927456155976</v>
      </c>
      <c r="X31" s="133">
        <f t="shared" si="124"/>
        <v>7236.6955921169802</v>
      </c>
      <c r="Y31" s="133">
        <f t="shared" si="124"/>
        <v>4824.4637280779843</v>
      </c>
      <c r="Z31" s="133">
        <f t="shared" si="124"/>
        <v>2412.2318640389885</v>
      </c>
      <c r="AA31" s="133">
        <v>0</v>
      </c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60"/>
      <c r="BH31" s="60"/>
      <c r="BI31" s="60"/>
      <c r="BJ31" s="60"/>
      <c r="BK31" s="165"/>
      <c r="BM31" s="155" t="s">
        <v>112</v>
      </c>
      <c r="BN31">
        <f>AG47</f>
        <v>0</v>
      </c>
      <c r="BO31">
        <f t="shared" ref="BO31:CM31" si="125">AH47</f>
        <v>1.154316019040833E-3</v>
      </c>
      <c r="BP31">
        <f t="shared" si="125"/>
        <v>2.2228757056519674E-3</v>
      </c>
      <c r="BQ31">
        <f t="shared" si="125"/>
        <v>3.2148932900422926E-3</v>
      </c>
      <c r="BR31">
        <f t="shared" si="125"/>
        <v>4.1383085951847967E-3</v>
      </c>
      <c r="BS31">
        <f t="shared" si="125"/>
        <v>5.0000000000000001E-3</v>
      </c>
      <c r="BT31">
        <f t="shared" si="125"/>
        <v>6.0000000000000001E-3</v>
      </c>
      <c r="BU31">
        <f t="shared" si="125"/>
        <v>7.000000000000001E-3</v>
      </c>
      <c r="BV31">
        <f t="shared" si="125"/>
        <v>8.0000000000000002E-3</v>
      </c>
      <c r="BW31">
        <f t="shared" si="125"/>
        <v>9.0000000000000011E-3</v>
      </c>
      <c r="BX31">
        <f t="shared" si="125"/>
        <v>1.0000000000000002E-2</v>
      </c>
      <c r="BY31">
        <f t="shared" si="125"/>
        <v>1.0000000000000002E-2</v>
      </c>
      <c r="BZ31">
        <f t="shared" si="125"/>
        <v>1.0000000000000002E-2</v>
      </c>
      <c r="CA31">
        <f t="shared" si="125"/>
        <v>1.0000000000000002E-2</v>
      </c>
      <c r="CB31">
        <f t="shared" si="125"/>
        <v>1.0000000000000002E-2</v>
      </c>
      <c r="CC31">
        <f t="shared" si="125"/>
        <v>1.0000000000000002E-2</v>
      </c>
      <c r="CD31">
        <f t="shared" si="125"/>
        <v>1.0000000000000002E-2</v>
      </c>
      <c r="CE31">
        <f t="shared" si="125"/>
        <v>1.0000000000000002E-2</v>
      </c>
      <c r="CF31">
        <f t="shared" si="125"/>
        <v>1.0000000000000002E-2</v>
      </c>
      <c r="CG31">
        <f t="shared" si="125"/>
        <v>1.0000000000000002E-2</v>
      </c>
      <c r="CH31">
        <f t="shared" si="125"/>
        <v>1.0000000000000002E-2</v>
      </c>
      <c r="CI31">
        <f t="shared" si="125"/>
        <v>1.0000000000000002E-2</v>
      </c>
      <c r="CJ31">
        <f t="shared" si="125"/>
        <v>1.0000000000000002E-2</v>
      </c>
      <c r="CK31">
        <f t="shared" si="125"/>
        <v>1.0000000000000002E-2</v>
      </c>
      <c r="CL31">
        <f t="shared" si="125"/>
        <v>1.0000000000000002E-2</v>
      </c>
      <c r="CM31">
        <f t="shared" si="125"/>
        <v>1.0000000000000002E-2</v>
      </c>
      <c r="CN31">
        <f t="shared" ref="CN31" si="126">BG47</f>
        <v>1.0000000000000002E-2</v>
      </c>
      <c r="CO31">
        <f t="shared" ref="CO31" si="127">BH47</f>
        <v>1.0000000000000002E-2</v>
      </c>
      <c r="CP31">
        <f t="shared" ref="CP31" si="128">BI47</f>
        <v>1.0000000000000002E-2</v>
      </c>
      <c r="CQ31">
        <f t="shared" ref="CQ31" si="129">BJ47</f>
        <v>1.0000000000000002E-2</v>
      </c>
      <c r="CR31">
        <f t="shared" ref="CR31" si="130">BK47</f>
        <v>1.0000000000000002E-2</v>
      </c>
    </row>
    <row r="32" spans="1:96" x14ac:dyDescent="0.35">
      <c r="A32" s="142"/>
      <c r="B32" s="129"/>
      <c r="C32" s="153"/>
      <c r="D32" s="153"/>
      <c r="E32" s="153"/>
      <c r="F32" s="153"/>
      <c r="G32" s="128"/>
      <c r="H32" s="128"/>
      <c r="I32" s="128"/>
      <c r="J32" s="128"/>
      <c r="K32" s="128"/>
      <c r="L32" s="128"/>
      <c r="M32" s="128"/>
      <c r="N32" s="128"/>
      <c r="O32" s="128"/>
      <c r="P32" s="128" t="s">
        <v>108</v>
      </c>
      <c r="Q32" s="128">
        <f>Q30-Q31</f>
        <v>0</v>
      </c>
      <c r="R32" s="128">
        <f>R30-R31</f>
        <v>2013.1603509047782</v>
      </c>
      <c r="S32" s="128">
        <f t="shared" ref="S32:AA32" si="131">S30-S31</f>
        <v>4026.3207018095527</v>
      </c>
      <c r="T32" s="128">
        <f t="shared" si="131"/>
        <v>6039.4810527143309</v>
      </c>
      <c r="U32" s="128">
        <f t="shared" si="131"/>
        <v>8052.641403619109</v>
      </c>
      <c r="V32" s="128">
        <f t="shared" si="131"/>
        <v>10065.801754523876</v>
      </c>
      <c r="W32" s="128">
        <f t="shared" si="131"/>
        <v>12143.44813450169</v>
      </c>
      <c r="X32" s="128">
        <f t="shared" si="131"/>
        <v>14221.094514479501</v>
      </c>
      <c r="Y32" s="128">
        <f t="shared" si="131"/>
        <v>16298.740894457305</v>
      </c>
      <c r="Z32" s="128">
        <f t="shared" si="131"/>
        <v>18376.387274435114</v>
      </c>
      <c r="AA32" s="128">
        <f t="shared" si="131"/>
        <v>20454.03365441291</v>
      </c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53"/>
      <c r="BH32" s="153"/>
      <c r="BI32" s="153"/>
      <c r="BJ32" s="153"/>
      <c r="BK32" s="164"/>
    </row>
    <row r="33" spans="1:96" x14ac:dyDescent="0.35">
      <c r="A33" s="144" t="s">
        <v>110</v>
      </c>
      <c r="B33" s="151">
        <f>B29</f>
        <v>11248.163840000001</v>
      </c>
      <c r="C33" s="153">
        <f t="shared" si="70"/>
        <v>12125.059439597833</v>
      </c>
      <c r="D33" s="153">
        <f t="shared" si="70"/>
        <v>13001.955039195665</v>
      </c>
      <c r="E33" s="153">
        <f t="shared" si="70"/>
        <v>13878.850638793498</v>
      </c>
      <c r="F33" s="153">
        <f t="shared" si="70"/>
        <v>14755.74623839133</v>
      </c>
      <c r="G33" s="145">
        <f>G29</f>
        <v>15632.641837989164</v>
      </c>
      <c r="H33" s="145">
        <f t="shared" ref="H33:P33" si="132">H29</f>
        <v>19306.688929572119</v>
      </c>
      <c r="I33" s="145">
        <f t="shared" si="132"/>
        <v>22959.4592614465</v>
      </c>
      <c r="J33" s="145">
        <f t="shared" si="132"/>
        <v>26589.890455286459</v>
      </c>
      <c r="K33" s="145">
        <f t="shared" si="132"/>
        <v>30196.848207613792</v>
      </c>
      <c r="L33" s="145">
        <f t="shared" si="132"/>
        <v>33779.120098154104</v>
      </c>
      <c r="M33" s="145">
        <f t="shared" si="132"/>
        <v>33362.933040518008</v>
      </c>
      <c r="N33" s="145">
        <f t="shared" si="132"/>
        <v>32946.745982881919</v>
      </c>
      <c r="O33" s="145">
        <f t="shared" si="132"/>
        <v>32530.55892524583</v>
      </c>
      <c r="P33" s="145">
        <f t="shared" si="132"/>
        <v>32114.371867609741</v>
      </c>
      <c r="Q33" s="145">
        <f>Q29-Q32</f>
        <v>31698.18480997366</v>
      </c>
      <c r="R33" s="145">
        <f>R29-R32</f>
        <v>29160.620368222339</v>
      </c>
      <c r="S33" s="145">
        <f t="shared" ref="S33:Z33" si="133">S29-S32</f>
        <v>26623.055926471021</v>
      </c>
      <c r="T33" s="145">
        <f t="shared" si="133"/>
        <v>24085.4914847197</v>
      </c>
      <c r="U33" s="145">
        <f t="shared" si="133"/>
        <v>21547.927042968378</v>
      </c>
      <c r="V33" s="145">
        <f t="shared" si="133"/>
        <v>19010.362601217053</v>
      </c>
      <c r="W33" s="145">
        <f t="shared" si="133"/>
        <v>16493.050670567514</v>
      </c>
      <c r="X33" s="145">
        <f t="shared" si="133"/>
        <v>13975.738739917975</v>
      </c>
      <c r="Y33" s="145">
        <f t="shared" si="133"/>
        <v>11458.426809268438</v>
      </c>
      <c r="Z33" s="145">
        <f t="shared" si="133"/>
        <v>8941.1148786188969</v>
      </c>
      <c r="AA33" s="145">
        <f>AA29-AA32</f>
        <v>6423.8029479693651</v>
      </c>
      <c r="AB33" s="145">
        <f t="shared" ref="AB33" si="134">AB$23*BG33</f>
        <v>6374.8793826181827</v>
      </c>
      <c r="AC33" s="145">
        <f t="shared" ref="AC33" si="135">AC$23*BH33</f>
        <v>6325.9558172670004</v>
      </c>
      <c r="AD33" s="145">
        <f t="shared" ref="AD33" si="136">AD$23*BI33</f>
        <v>6277.0322519158181</v>
      </c>
      <c r="AE33" s="145">
        <f t="shared" ref="AE33" si="137">AE$23*BJ33</f>
        <v>6228.1086865646357</v>
      </c>
      <c r="AF33" s="145">
        <f t="shared" ref="AF33" si="138">AF$23*BK33</f>
        <v>6179.1851212134552</v>
      </c>
      <c r="AG33" s="161">
        <f>B33/B$23</f>
        <v>3.3377716489710378E-2</v>
      </c>
      <c r="AH33" s="161">
        <f t="shared" ref="AH33" si="139">C33/C$23</f>
        <v>3.459174461768344E-2</v>
      </c>
      <c r="AI33" s="161">
        <f t="shared" ref="AI33" si="140">D33/D$23</f>
        <v>3.5715580287088718E-2</v>
      </c>
      <c r="AJ33" s="161">
        <f t="shared" ref="AJ33" si="141">E33/E$23</f>
        <v>3.6758914375005544E-2</v>
      </c>
      <c r="AK33" s="161">
        <f t="shared" ref="AK33" si="142">F33/F$23</f>
        <v>3.7730097426918269E-2</v>
      </c>
      <c r="AL33" s="161">
        <f t="shared" ref="AL33" si="143">G33/G$23</f>
        <v>3.8636363636363712E-2</v>
      </c>
      <c r="AM33" s="161">
        <f t="shared" ref="AM33" si="144">H33/H$23</f>
        <v>4.8611512037411299E-2</v>
      </c>
      <c r="AN33" s="161">
        <f t="shared" ref="AN33" si="145">I33/I$23</f>
        <v>5.8913273090012971E-2</v>
      </c>
      <c r="AO33" s="161">
        <f t="shared" ref="AO33" si="146">J33/J$23</f>
        <v>6.9557955019984546E-2</v>
      </c>
      <c r="AP33" s="161">
        <f t="shared" ref="AP33" si="147">K33/K$23</f>
        <v>8.0562970152875571E-2</v>
      </c>
      <c r="AQ33" s="161">
        <f t="shared" ref="AQ33" si="148">L33/L$23</f>
        <v>9.1946929959888929E-2</v>
      </c>
      <c r="AR33" s="161">
        <f t="shared" ref="AR33" si="149">M33/M$23</f>
        <v>9.1946929959888915E-2</v>
      </c>
      <c r="AS33" s="161">
        <f t="shared" ref="AS33" si="150">N33/N$23</f>
        <v>9.1946929959888929E-2</v>
      </c>
      <c r="AT33" s="161">
        <f t="shared" ref="AT33" si="151">O33/O$23</f>
        <v>9.1946929959888929E-2</v>
      </c>
      <c r="AU33" s="161">
        <f t="shared" ref="AU33" si="152">P33/P$23</f>
        <v>9.1946929959888929E-2</v>
      </c>
      <c r="AV33" s="161">
        <f t="shared" ref="AV33" si="153">Q33/Q$23</f>
        <v>9.1946929959888929E-2</v>
      </c>
      <c r="AW33" s="161">
        <f t="shared" ref="AW33" si="154">R33/R$23</f>
        <v>8.6009122305102478E-2</v>
      </c>
      <c r="AX33" s="161">
        <f t="shared" ref="AX33" si="155">S33/S$23</f>
        <v>7.9868125485159799E-2</v>
      </c>
      <c r="AY33" s="161">
        <f t="shared" ref="AY33" si="156">T33/T$23</f>
        <v>7.3513328380403448E-2</v>
      </c>
      <c r="AZ33" s="161">
        <f t="shared" ref="AZ33" si="157">U33/U$23</f>
        <v>6.6933367924190024E-2</v>
      </c>
      <c r="BA33" s="161">
        <f t="shared" ref="BA33" si="158">V33/V$23</f>
        <v>6.0116061294070718E-2</v>
      </c>
      <c r="BB33" s="161">
        <f t="shared" ref="BB33" si="159">W33/W$23</f>
        <v>5.2956382173477284E-2</v>
      </c>
      <c r="BC33" s="161">
        <f t="shared" ref="BC33" si="160">X33/X$23</f>
        <v>4.5573425195062869E-2</v>
      </c>
      <c r="BD33" s="161">
        <f t="shared" ref="BD33" si="161">Y33/Y$23</f>
        <v>3.7956580387735389E-2</v>
      </c>
      <c r="BE33" s="161">
        <f t="shared" ref="BE33" si="162">Z33/Z$23</f>
        <v>3.0094554725450379E-2</v>
      </c>
      <c r="BF33" s="161">
        <f t="shared" ref="BF33" si="163">AA33/AA$23</f>
        <v>2.197531626041346E-2</v>
      </c>
      <c r="BG33" s="162">
        <v>2.197531626041346E-2</v>
      </c>
      <c r="BH33" s="162">
        <v>2.197531626041346E-2</v>
      </c>
      <c r="BI33" s="162">
        <v>2.197531626041346E-2</v>
      </c>
      <c r="BJ33" s="162">
        <v>2.197531626041346E-2</v>
      </c>
      <c r="BK33" s="166">
        <v>2.197531626041346E-2</v>
      </c>
      <c r="BM33" t="s">
        <v>109</v>
      </c>
      <c r="BN33">
        <v>3.001274344849188E-2</v>
      </c>
      <c r="BO33">
        <v>3.6135546692555323E-2</v>
      </c>
      <c r="BP33">
        <v>4.1803475238755834E-2</v>
      </c>
      <c r="BQ33">
        <v>4.706540384728379E-2</v>
      </c>
      <c r="BR33">
        <v>5.1963447478907646E-2</v>
      </c>
      <c r="BS33">
        <v>5.6534090909090756E-2</v>
      </c>
      <c r="BT33">
        <v>6.8356330465908291E-2</v>
      </c>
      <c r="BU33">
        <v>8.056566130735815E-2</v>
      </c>
      <c r="BV33">
        <v>9.3181411441865883E-2</v>
      </c>
      <c r="BW33">
        <v>0.10622421742295547</v>
      </c>
      <c r="BX33">
        <v>0.11971613699475457</v>
      </c>
      <c r="BY33">
        <v>0.11971613699475457</v>
      </c>
      <c r="BZ33">
        <v>0.11971613699475457</v>
      </c>
      <c r="CA33">
        <v>0.11971613699475457</v>
      </c>
      <c r="CB33">
        <v>0.11971613699475456</v>
      </c>
      <c r="CC33">
        <v>0.11971613699475456</v>
      </c>
      <c r="CD33">
        <v>0.14682484500410031</v>
      </c>
      <c r="CE33">
        <v>0.17486120107298597</v>
      </c>
      <c r="CF33">
        <v>0.20387364963766949</v>
      </c>
      <c r="CG33">
        <v>0.2339140681036912</v>
      </c>
      <c r="CH33">
        <v>0.26503807642300875</v>
      </c>
      <c r="CI33">
        <v>0.29772516600300253</v>
      </c>
      <c r="CJ33">
        <v>0.33143161737517934</v>
      </c>
      <c r="CK33">
        <v>0.36620586973209035</v>
      </c>
      <c r="CL33">
        <v>0.40209948071308343</v>
      </c>
      <c r="CM33">
        <v>0.43916738146084711</v>
      </c>
      <c r="CN33">
        <v>0.43916738146084711</v>
      </c>
      <c r="CO33">
        <v>0.43916738146084711</v>
      </c>
      <c r="CP33">
        <v>0.43916738146084711</v>
      </c>
      <c r="CQ33">
        <v>0.43916738146084711</v>
      </c>
      <c r="CR33">
        <v>0.43916738146084711</v>
      </c>
    </row>
    <row r="34" spans="1:96" x14ac:dyDescent="0.35">
      <c r="A34" s="142"/>
      <c r="B34" s="129"/>
      <c r="C34" s="153"/>
      <c r="D34" s="153"/>
      <c r="E34" s="153"/>
      <c r="F34" s="153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53"/>
      <c r="BH34" s="153"/>
      <c r="BI34" s="153"/>
      <c r="BJ34" s="153"/>
      <c r="BK34" s="164"/>
      <c r="BM34" t="s">
        <v>111</v>
      </c>
      <c r="BN34">
        <v>4.3647087577094491E-2</v>
      </c>
      <c r="BO34">
        <v>4.4916982880222653E-2</v>
      </c>
      <c r="BP34">
        <v>4.6092535246087876E-2</v>
      </c>
      <c r="BQ34">
        <v>4.718388150678051E-2</v>
      </c>
      <c r="BR34">
        <v>4.8199756483384856E-2</v>
      </c>
      <c r="BS34">
        <v>4.914772727272728E-2</v>
      </c>
      <c r="BT34">
        <v>5.8657121413313341E-2</v>
      </c>
      <c r="BU34">
        <v>6.8477878183311858E-2</v>
      </c>
      <c r="BV34">
        <v>7.8625544353636057E-2</v>
      </c>
      <c r="BW34">
        <v>8.9116719242902293E-2</v>
      </c>
      <c r="BX34">
        <v>9.99691453255169E-2</v>
      </c>
      <c r="BY34">
        <v>9.9969145325516887E-2</v>
      </c>
      <c r="BZ34">
        <v>9.99691453255169E-2</v>
      </c>
      <c r="CA34">
        <v>9.9969145325516887E-2</v>
      </c>
      <c r="CB34">
        <v>9.9969145325516887E-2</v>
      </c>
      <c r="CC34">
        <v>9.9969145325516887E-2</v>
      </c>
      <c r="CD34">
        <v>0.1226063138694036</v>
      </c>
      <c r="CE34">
        <v>0.14601811635991638</v>
      </c>
      <c r="CF34">
        <v>0.1702450063984666</v>
      </c>
      <c r="CG34">
        <v>0.1953303042927734</v>
      </c>
      <c r="CH34">
        <v>0.2213204555697294</v>
      </c>
      <c r="CI34">
        <v>0.24861586027054897</v>
      </c>
      <c r="CJ34">
        <v>0.2767624846122636</v>
      </c>
      <c r="CK34">
        <v>0.30580077781751935</v>
      </c>
      <c r="CL34">
        <v>0.33577379317278166</v>
      </c>
      <c r="CM34">
        <v>0.36672740101369777</v>
      </c>
      <c r="CN34">
        <v>0.36672740101369777</v>
      </c>
      <c r="CO34">
        <v>0.36672740101369777</v>
      </c>
      <c r="CP34">
        <v>0.36672740101369777</v>
      </c>
      <c r="CQ34">
        <v>0.36672740101369777</v>
      </c>
      <c r="CR34">
        <v>0.36672740101369777</v>
      </c>
    </row>
    <row r="35" spans="1:96" x14ac:dyDescent="0.35">
      <c r="A35" s="141" t="s">
        <v>83</v>
      </c>
      <c r="B35" s="132">
        <f>'Initial demand info'!F27</f>
        <v>14708.902940000002</v>
      </c>
      <c r="C35" s="153">
        <f t="shared" si="70"/>
        <v>15744.250349017826</v>
      </c>
      <c r="D35" s="153">
        <f t="shared" si="70"/>
        <v>16779.597758035648</v>
      </c>
      <c r="E35" s="153">
        <f t="shared" si="70"/>
        <v>17814.945167053473</v>
      </c>
      <c r="F35" s="153">
        <f t="shared" si="70"/>
        <v>18850.292576071297</v>
      </c>
      <c r="G35" s="133">
        <f>G$23*AL35</f>
        <v>19885.639985089121</v>
      </c>
      <c r="H35" s="133">
        <f t="shared" ref="H35:AF35" si="164">H$23*AM35</f>
        <v>23296.432247559685</v>
      </c>
      <c r="I35" s="133">
        <f t="shared" si="164"/>
        <v>26686.941193334715</v>
      </c>
      <c r="J35" s="133">
        <f t="shared" si="164"/>
        <v>30056.154048085384</v>
      </c>
      <c r="K35" s="133">
        <f t="shared" si="164"/>
        <v>33402.989470620989</v>
      </c>
      <c r="L35" s="133">
        <f t="shared" si="164"/>
        <v>36726.291650342071</v>
      </c>
      <c r="M35" s="133">
        <f t="shared" si="164"/>
        <v>36273.79297022766</v>
      </c>
      <c r="N35" s="133">
        <f t="shared" si="164"/>
        <v>35821.294290113256</v>
      </c>
      <c r="O35" s="133">
        <f t="shared" si="164"/>
        <v>35368.795609998844</v>
      </c>
      <c r="P35" s="133">
        <f t="shared" si="164"/>
        <v>34916.29692988444</v>
      </c>
      <c r="Q35" s="133">
        <f t="shared" si="164"/>
        <v>34463.798249770043</v>
      </c>
      <c r="R35" s="133">
        <f t="shared" si="164"/>
        <v>33893.64078186977</v>
      </c>
      <c r="S35" s="133">
        <f t="shared" si="164"/>
        <v>33323.483313969504</v>
      </c>
      <c r="T35" s="133">
        <f t="shared" si="164"/>
        <v>32753.325846069234</v>
      </c>
      <c r="U35" s="133">
        <f t="shared" si="164"/>
        <v>32183.168378168964</v>
      </c>
      <c r="V35" s="133">
        <f t="shared" si="164"/>
        <v>31613.010910268691</v>
      </c>
      <c r="W35" s="133">
        <f t="shared" si="164"/>
        <v>31134.985277994729</v>
      </c>
      <c r="X35" s="133">
        <f t="shared" si="164"/>
        <v>30656.959645720763</v>
      </c>
      <c r="Y35" s="133">
        <f t="shared" si="164"/>
        <v>30178.9340134468</v>
      </c>
      <c r="Z35" s="133">
        <f t="shared" si="164"/>
        <v>29700.908381172838</v>
      </c>
      <c r="AA35" s="133">
        <f t="shared" si="164"/>
        <v>29222.882748898868</v>
      </c>
      <c r="AB35" s="133">
        <f t="shared" si="164"/>
        <v>29000.321810231275</v>
      </c>
      <c r="AC35" s="133">
        <f t="shared" si="164"/>
        <v>28777.760871563685</v>
      </c>
      <c r="AD35" s="133">
        <f t="shared" si="164"/>
        <v>28555.199932896096</v>
      </c>
      <c r="AE35" s="133">
        <f t="shared" si="164"/>
        <v>28332.638994228506</v>
      </c>
      <c r="AF35" s="133">
        <f t="shared" si="164"/>
        <v>28110.078055560927</v>
      </c>
      <c r="AG35" s="161">
        <f>B35/B$23</f>
        <v>4.3647087577094491E-2</v>
      </c>
      <c r="AH35" s="161">
        <f t="shared" ref="AH35" si="165">C35/C$23</f>
        <v>4.4916982880222653E-2</v>
      </c>
      <c r="AI35" s="161">
        <f t="shared" ref="AI35" si="166">D35/D$23</f>
        <v>4.6092535246087876E-2</v>
      </c>
      <c r="AJ35" s="161">
        <f t="shared" ref="AJ35" si="167">E35/E$23</f>
        <v>4.718388150678051E-2</v>
      </c>
      <c r="AK35" s="161">
        <f t="shared" ref="AK35" si="168">F35/F$23</f>
        <v>4.8199756483384856E-2</v>
      </c>
      <c r="AL35" s="133">
        <v>4.914772727272728E-2</v>
      </c>
      <c r="AM35" s="133">
        <v>5.8657121413313341E-2</v>
      </c>
      <c r="AN35" s="133">
        <v>6.8477878183311858E-2</v>
      </c>
      <c r="AO35" s="133">
        <v>7.8625544353636057E-2</v>
      </c>
      <c r="AP35" s="133">
        <v>8.9116719242902293E-2</v>
      </c>
      <c r="AQ35" s="133">
        <v>9.9969145325516887E-2</v>
      </c>
      <c r="AR35" s="133">
        <v>9.9969145325516887E-2</v>
      </c>
      <c r="AS35" s="133">
        <v>9.9969145325516887E-2</v>
      </c>
      <c r="AT35" s="133">
        <v>9.9969145325516887E-2</v>
      </c>
      <c r="AU35" s="133">
        <v>9.9969145325516887E-2</v>
      </c>
      <c r="AV35" s="133">
        <v>9.9969145325516887E-2</v>
      </c>
      <c r="AW35" s="133">
        <v>9.9969145325516887E-2</v>
      </c>
      <c r="AX35" s="133">
        <v>9.9969145325516887E-2</v>
      </c>
      <c r="AY35" s="133">
        <v>9.9969145325516887E-2</v>
      </c>
      <c r="AZ35" s="133">
        <v>9.9969145325516887E-2</v>
      </c>
      <c r="BA35" s="133">
        <v>9.9969145325516887E-2</v>
      </c>
      <c r="BB35" s="133">
        <v>9.9969145325516887E-2</v>
      </c>
      <c r="BC35" s="133">
        <v>9.9969145325516887E-2</v>
      </c>
      <c r="BD35" s="133">
        <v>9.9969145325516887E-2</v>
      </c>
      <c r="BE35" s="133">
        <v>9.9969145325516887E-2</v>
      </c>
      <c r="BF35" s="133">
        <v>9.9969145325516887E-2</v>
      </c>
      <c r="BG35" s="60">
        <v>9.9969145325516887E-2</v>
      </c>
      <c r="BH35" s="60">
        <v>9.9969145325516887E-2</v>
      </c>
      <c r="BI35" s="60">
        <v>9.9969145325516887E-2</v>
      </c>
      <c r="BJ35" s="60">
        <v>9.9969145325516887E-2</v>
      </c>
      <c r="BK35" s="165">
        <v>9.9969145325516887E-2</v>
      </c>
      <c r="BM35" t="s">
        <v>114</v>
      </c>
      <c r="BN35">
        <v>0.8929624524847033</v>
      </c>
      <c r="BO35">
        <v>0.88339816820283423</v>
      </c>
      <c r="BP35">
        <v>0.87454443279042438</v>
      </c>
      <c r="BQ35">
        <v>0.86632490015532682</v>
      </c>
      <c r="BR35">
        <v>0.85867378352614709</v>
      </c>
      <c r="BS35">
        <v>0.85153409090909082</v>
      </c>
      <c r="BT35">
        <v>0.81906783672998074</v>
      </c>
      <c r="BU35">
        <v>0.7855712944490082</v>
      </c>
      <c r="BV35">
        <v>0.75099302034242077</v>
      </c>
      <c r="BW35">
        <v>0.71527808784275648</v>
      </c>
      <c r="BX35">
        <v>0.67836778771983952</v>
      </c>
      <c r="BY35">
        <v>0.67836778771983952</v>
      </c>
      <c r="BZ35">
        <v>0.67836778771983952</v>
      </c>
      <c r="CA35">
        <v>0.67836778771983952</v>
      </c>
      <c r="CB35">
        <v>0.67836778771983952</v>
      </c>
      <c r="CC35">
        <v>0.67836778771983952</v>
      </c>
      <c r="CD35">
        <v>0.6345597188213935</v>
      </c>
      <c r="CE35">
        <v>0.5892525570819378</v>
      </c>
      <c r="CF35">
        <v>0.54236801558346037</v>
      </c>
      <c r="CG35">
        <v>0.49382225967934529</v>
      </c>
      <c r="CH35">
        <v>0.44352540671319102</v>
      </c>
      <c r="CI35">
        <v>0.39070259155297116</v>
      </c>
      <c r="CJ35">
        <v>0.33623247281749413</v>
      </c>
      <c r="CK35">
        <v>0.28003677206265476</v>
      </c>
      <c r="CL35">
        <v>0.22203217138868439</v>
      </c>
      <c r="CM35">
        <v>0.16212990126504168</v>
      </c>
      <c r="CN35">
        <v>0.16212990126504168</v>
      </c>
      <c r="CO35">
        <v>0.16212990126504168</v>
      </c>
      <c r="CP35">
        <v>0.16212990126504168</v>
      </c>
      <c r="CQ35">
        <v>0.16212990126504168</v>
      </c>
      <c r="CR35">
        <v>0.16212990126504168</v>
      </c>
    </row>
    <row r="36" spans="1:96" x14ac:dyDescent="0.35">
      <c r="A36" s="142" t="s">
        <v>113</v>
      </c>
      <c r="B36" s="129"/>
      <c r="C36" s="153"/>
      <c r="D36" s="153"/>
      <c r="E36" s="153"/>
      <c r="F36" s="153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>
        <f>Q35/(Q25+Q35)</f>
        <v>0.4550561797752814</v>
      </c>
      <c r="R36" s="128">
        <f t="shared" ref="R36:AA36" si="169">R35/(R25+R35)</f>
        <v>0.45505617977528134</v>
      </c>
      <c r="S36" s="128">
        <f t="shared" si="169"/>
        <v>0.45505617977528134</v>
      </c>
      <c r="T36" s="128">
        <f t="shared" si="169"/>
        <v>0.4550561797752814</v>
      </c>
      <c r="U36" s="128">
        <f t="shared" si="169"/>
        <v>0.45505617977528134</v>
      </c>
      <c r="V36" s="128">
        <f t="shared" si="169"/>
        <v>0.45505617977528134</v>
      </c>
      <c r="W36" s="128">
        <f t="shared" si="169"/>
        <v>0.45505617977528134</v>
      </c>
      <c r="X36" s="128">
        <f t="shared" si="169"/>
        <v>0.45505617977528134</v>
      </c>
      <c r="Y36" s="128">
        <f t="shared" si="169"/>
        <v>0.45505617977528129</v>
      </c>
      <c r="Z36" s="128">
        <f t="shared" si="169"/>
        <v>0.45505617977528134</v>
      </c>
      <c r="AA36" s="128">
        <f t="shared" si="169"/>
        <v>0.4550561797752814</v>
      </c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53"/>
      <c r="BH36" s="153"/>
      <c r="BI36" s="153"/>
      <c r="BJ36" s="153"/>
      <c r="BK36" s="164"/>
      <c r="BM36" t="s">
        <v>110</v>
      </c>
      <c r="BN36">
        <v>3.3377716489710378E-2</v>
      </c>
      <c r="BO36">
        <v>3.459174461768344E-2</v>
      </c>
      <c r="BP36">
        <v>3.5715580287088718E-2</v>
      </c>
      <c r="BQ36">
        <v>3.6758914375005544E-2</v>
      </c>
      <c r="BR36">
        <v>3.7730097426918269E-2</v>
      </c>
      <c r="BS36">
        <v>3.8636363636363712E-2</v>
      </c>
      <c r="BT36">
        <v>4.8611512037411299E-2</v>
      </c>
      <c r="BU36">
        <v>5.8913273090012971E-2</v>
      </c>
      <c r="BV36">
        <v>6.9557955019984546E-2</v>
      </c>
      <c r="BW36">
        <v>8.0562970152875571E-2</v>
      </c>
      <c r="BX36">
        <v>9.1946929959888929E-2</v>
      </c>
      <c r="BY36">
        <v>9.1946929959888915E-2</v>
      </c>
      <c r="BZ36">
        <v>9.1946929959888929E-2</v>
      </c>
      <c r="CA36">
        <v>9.1946929959888929E-2</v>
      </c>
      <c r="CB36">
        <v>9.1946929959888929E-2</v>
      </c>
      <c r="CC36">
        <v>9.1946929959888929E-2</v>
      </c>
      <c r="CD36">
        <v>8.6009122305102478E-2</v>
      </c>
      <c r="CE36">
        <v>7.9868125485159799E-2</v>
      </c>
      <c r="CF36">
        <v>7.3513328380403448E-2</v>
      </c>
      <c r="CG36">
        <v>6.6933367924190024E-2</v>
      </c>
      <c r="CH36">
        <v>6.0116061294070718E-2</v>
      </c>
      <c r="CI36">
        <v>5.2956382173477284E-2</v>
      </c>
      <c r="CJ36">
        <v>4.5573425195062869E-2</v>
      </c>
      <c r="CK36">
        <v>3.7956580387735389E-2</v>
      </c>
      <c r="CL36">
        <v>3.0094554725450379E-2</v>
      </c>
      <c r="CM36">
        <v>2.197531626041346E-2</v>
      </c>
      <c r="CN36">
        <v>2.197531626041346E-2</v>
      </c>
      <c r="CO36">
        <v>2.197531626041346E-2</v>
      </c>
      <c r="CP36">
        <v>2.197531626041346E-2</v>
      </c>
      <c r="CQ36">
        <v>2.197531626041346E-2</v>
      </c>
      <c r="CR36">
        <v>2.197531626041346E-2</v>
      </c>
    </row>
    <row r="37" spans="1:96" x14ac:dyDescent="0.35">
      <c r="A37" s="144" t="s">
        <v>111</v>
      </c>
      <c r="B37" s="151">
        <f>B35</f>
        <v>14708.902940000002</v>
      </c>
      <c r="C37" s="153">
        <f t="shared" si="70"/>
        <v>15744.250349017826</v>
      </c>
      <c r="D37" s="153">
        <f t="shared" si="70"/>
        <v>16779.597758035648</v>
      </c>
      <c r="E37" s="153">
        <f t="shared" si="70"/>
        <v>17814.945167053473</v>
      </c>
      <c r="F37" s="153">
        <f t="shared" si="70"/>
        <v>18850.292576071297</v>
      </c>
      <c r="G37" s="145">
        <f>G35</f>
        <v>19885.639985089121</v>
      </c>
      <c r="H37" s="145">
        <f t="shared" ref="H37:P37" si="170">H35</f>
        <v>23296.432247559685</v>
      </c>
      <c r="I37" s="145">
        <f t="shared" si="170"/>
        <v>26686.941193334715</v>
      </c>
      <c r="J37" s="145">
        <f t="shared" si="170"/>
        <v>30056.154048085384</v>
      </c>
      <c r="K37" s="145">
        <f t="shared" si="170"/>
        <v>33402.989470620989</v>
      </c>
      <c r="L37" s="145">
        <f t="shared" si="170"/>
        <v>36726.291650342071</v>
      </c>
      <c r="M37" s="145">
        <f t="shared" si="170"/>
        <v>36273.79297022766</v>
      </c>
      <c r="N37" s="145">
        <f t="shared" si="170"/>
        <v>35821.294290113256</v>
      </c>
      <c r="O37" s="145">
        <f t="shared" si="170"/>
        <v>35368.795609998844</v>
      </c>
      <c r="P37" s="145">
        <f t="shared" si="170"/>
        <v>34916.29692988444</v>
      </c>
      <c r="Q37" s="145">
        <f>Q35+Q36*(Q42+Q32)</f>
        <v>34463.798249770043</v>
      </c>
      <c r="R37" s="145">
        <f>R35+R36*(R42+R32)</f>
        <v>41568.569445577152</v>
      </c>
      <c r="S37" s="145">
        <f t="shared" ref="S37:Z37" si="171">S35+S36*(S42+S32)</f>
        <v>48673.34064138426</v>
      </c>
      <c r="T37" s="145">
        <f t="shared" si="171"/>
        <v>55778.111837191376</v>
      </c>
      <c r="U37" s="145">
        <f t="shared" si="171"/>
        <v>62882.883032998492</v>
      </c>
      <c r="V37" s="145">
        <f t="shared" si="171"/>
        <v>69987.654228805593</v>
      </c>
      <c r="W37" s="145">
        <f t="shared" si="171"/>
        <v>77430.402392604563</v>
      </c>
      <c r="X37" s="145">
        <f t="shared" si="171"/>
        <v>84873.150556403532</v>
      </c>
      <c r="Y37" s="145">
        <f t="shared" si="171"/>
        <v>92315.898720202502</v>
      </c>
      <c r="Z37" s="145">
        <f t="shared" si="171"/>
        <v>99758.646884001471</v>
      </c>
      <c r="AA37" s="145">
        <f>AA35+AA36*(AA42+AA32)</f>
        <v>107201.39504780041</v>
      </c>
      <c r="AB37" s="145">
        <f>AB$23*BG37</f>
        <v>106384.95119065861</v>
      </c>
      <c r="AC37" s="145">
        <f t="shared" ref="AC37:AF37" si="172">AC$23*BH37</f>
        <v>105568.50733351681</v>
      </c>
      <c r="AD37" s="145">
        <f t="shared" si="172"/>
        <v>104752.063476375</v>
      </c>
      <c r="AE37" s="145">
        <f t="shared" si="172"/>
        <v>103935.6196192332</v>
      </c>
      <c r="AF37" s="145">
        <f t="shared" si="172"/>
        <v>103119.17576209144</v>
      </c>
      <c r="AG37" s="161">
        <f>B37/B$23</f>
        <v>4.3647087577094491E-2</v>
      </c>
      <c r="AH37" s="161">
        <f t="shared" ref="AH37:AK37" si="173">C37/C$23</f>
        <v>4.4916982880222653E-2</v>
      </c>
      <c r="AI37" s="161">
        <f t="shared" si="173"/>
        <v>4.6092535246087876E-2</v>
      </c>
      <c r="AJ37" s="161">
        <f t="shared" si="173"/>
        <v>4.718388150678051E-2</v>
      </c>
      <c r="AK37" s="161">
        <f t="shared" si="173"/>
        <v>4.8199756483384856E-2</v>
      </c>
      <c r="AL37" s="161">
        <f t="shared" ref="AL37" si="174">G37/G$23</f>
        <v>4.914772727272728E-2</v>
      </c>
      <c r="AM37" s="161">
        <f t="shared" ref="AM37" si="175">H37/H$23</f>
        <v>5.8657121413313341E-2</v>
      </c>
      <c r="AN37" s="161">
        <f t="shared" ref="AN37" si="176">I37/I$23</f>
        <v>6.8477878183311858E-2</v>
      </c>
      <c r="AO37" s="161">
        <f t="shared" ref="AO37" si="177">J37/J$23</f>
        <v>7.8625544353636057E-2</v>
      </c>
      <c r="AP37" s="161">
        <f t="shared" ref="AP37" si="178">K37/K$23</f>
        <v>8.9116719242902293E-2</v>
      </c>
      <c r="AQ37" s="161">
        <f t="shared" ref="AQ37" si="179">L37/L$23</f>
        <v>9.99691453255169E-2</v>
      </c>
      <c r="AR37" s="161">
        <f t="shared" ref="AR37" si="180">M37/M$23</f>
        <v>9.9969145325516887E-2</v>
      </c>
      <c r="AS37" s="161">
        <f t="shared" ref="AS37" si="181">N37/N$23</f>
        <v>9.99691453255169E-2</v>
      </c>
      <c r="AT37" s="161">
        <f t="shared" ref="AT37" si="182">O37/O$23</f>
        <v>9.9969145325516887E-2</v>
      </c>
      <c r="AU37" s="161">
        <f t="shared" ref="AU37" si="183">P37/P$23</f>
        <v>9.9969145325516887E-2</v>
      </c>
      <c r="AV37" s="161">
        <f t="shared" ref="AV37" si="184">Q37/Q$23</f>
        <v>9.9969145325516887E-2</v>
      </c>
      <c r="AW37" s="161">
        <f t="shared" ref="AW37" si="185">R37/R$23</f>
        <v>0.1226063138694036</v>
      </c>
      <c r="AX37" s="161">
        <f t="shared" ref="AX37" si="186">S37/S$23</f>
        <v>0.14601811635991638</v>
      </c>
      <c r="AY37" s="161">
        <f t="shared" ref="AY37" si="187">T37/T$23</f>
        <v>0.1702450063984666</v>
      </c>
      <c r="AZ37" s="161">
        <f t="shared" ref="AZ37" si="188">U37/U$23</f>
        <v>0.1953303042927734</v>
      </c>
      <c r="BA37" s="161">
        <f t="shared" ref="BA37" si="189">V37/V$23</f>
        <v>0.2213204555697294</v>
      </c>
      <c r="BB37" s="161">
        <f t="shared" ref="BB37" si="190">W37/W$23</f>
        <v>0.24861586027054897</v>
      </c>
      <c r="BC37" s="161">
        <f t="shared" ref="BC37" si="191">X37/X$23</f>
        <v>0.2767624846122636</v>
      </c>
      <c r="BD37" s="161">
        <f t="shared" ref="BD37" si="192">Y37/Y$23</f>
        <v>0.30580077781751935</v>
      </c>
      <c r="BE37" s="161">
        <f t="shared" ref="BE37" si="193">Z37/Z$23</f>
        <v>0.33577379317278166</v>
      </c>
      <c r="BF37" s="161">
        <f t="shared" ref="BF37" si="194">AA37/AA$23</f>
        <v>0.36672740101369777</v>
      </c>
      <c r="BG37" s="162">
        <v>0.36672740101369777</v>
      </c>
      <c r="BH37" s="162">
        <v>0.36672740101369777</v>
      </c>
      <c r="BI37" s="162">
        <v>0.36672740101369777</v>
      </c>
      <c r="BJ37" s="162">
        <v>0.36672740101369777</v>
      </c>
      <c r="BK37" s="166">
        <v>0.36672740101369777</v>
      </c>
      <c r="BM37" t="s">
        <v>112</v>
      </c>
      <c r="BN37">
        <v>0</v>
      </c>
      <c r="BO37">
        <v>1.154316019040833E-3</v>
      </c>
      <c r="BP37">
        <v>2.2228757056519674E-3</v>
      </c>
      <c r="BQ37">
        <v>3.2148932900422926E-3</v>
      </c>
      <c r="BR37">
        <v>4.1383085951847967E-3</v>
      </c>
      <c r="BS37">
        <v>5.0000000000000001E-3</v>
      </c>
      <c r="BT37">
        <v>6.0000000000000001E-3</v>
      </c>
      <c r="BU37">
        <v>7.000000000000001E-3</v>
      </c>
      <c r="BV37">
        <v>8.0000000000000002E-3</v>
      </c>
      <c r="BW37">
        <v>9.0000000000000011E-3</v>
      </c>
      <c r="BX37">
        <v>1.0000000000000002E-2</v>
      </c>
      <c r="BY37">
        <v>1.0000000000000002E-2</v>
      </c>
      <c r="BZ37">
        <v>1.0000000000000002E-2</v>
      </c>
      <c r="CA37">
        <v>1.0000000000000002E-2</v>
      </c>
      <c r="CB37">
        <v>1.0000000000000002E-2</v>
      </c>
      <c r="CC37">
        <v>1.0000000000000002E-2</v>
      </c>
      <c r="CD37">
        <v>1.0000000000000002E-2</v>
      </c>
      <c r="CE37">
        <v>1.0000000000000002E-2</v>
      </c>
      <c r="CF37">
        <v>1.0000000000000002E-2</v>
      </c>
      <c r="CG37">
        <v>1.0000000000000002E-2</v>
      </c>
      <c r="CH37">
        <v>1.0000000000000002E-2</v>
      </c>
      <c r="CI37">
        <v>1.0000000000000002E-2</v>
      </c>
      <c r="CJ37">
        <v>1.0000000000000002E-2</v>
      </c>
      <c r="CK37">
        <v>1.0000000000000002E-2</v>
      </c>
      <c r="CL37">
        <v>1.0000000000000002E-2</v>
      </c>
      <c r="CM37">
        <v>1.0000000000000002E-2</v>
      </c>
      <c r="CN37">
        <v>1.0000000000000002E-2</v>
      </c>
      <c r="CO37">
        <v>1.0000000000000002E-2</v>
      </c>
      <c r="CP37">
        <v>1.0000000000000002E-2</v>
      </c>
      <c r="CQ37">
        <v>1.0000000000000002E-2</v>
      </c>
      <c r="CR37">
        <v>1.0000000000000002E-2</v>
      </c>
    </row>
    <row r="38" spans="1:96" x14ac:dyDescent="0.35">
      <c r="A38" s="142"/>
      <c r="B38" s="129"/>
      <c r="C38" s="153"/>
      <c r="D38" s="153"/>
      <c r="E38" s="153"/>
      <c r="F38" s="153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53"/>
      <c r="BH38" s="153"/>
      <c r="BI38" s="153"/>
      <c r="BJ38" s="153"/>
      <c r="BK38" s="164"/>
    </row>
    <row r="39" spans="1:96" x14ac:dyDescent="0.35">
      <c r="A39" s="141" t="s">
        <v>80</v>
      </c>
      <c r="B39" s="132">
        <f>'Initial demand info'!F28</f>
        <v>300924.95906999998</v>
      </c>
      <c r="C39" s="153">
        <f t="shared" si="70"/>
        <v>309647.73291068914</v>
      </c>
      <c r="D39" s="153">
        <f t="shared" si="70"/>
        <v>318370.5067513783</v>
      </c>
      <c r="E39" s="153">
        <f t="shared" si="70"/>
        <v>327093.28059206746</v>
      </c>
      <c r="F39" s="153">
        <f t="shared" si="70"/>
        <v>335816.05443275662</v>
      </c>
      <c r="G39" s="133">
        <f>G$23*AL39</f>
        <v>344538.82827344578</v>
      </c>
      <c r="H39" s="133">
        <f t="shared" ref="H39:AA39" si="195">H$23*AM39</f>
        <v>325303.35455916869</v>
      </c>
      <c r="I39" s="133">
        <f t="shared" si="195"/>
        <v>306149.89094743278</v>
      </c>
      <c r="J39" s="133">
        <f t="shared" si="195"/>
        <v>287081.78867323638</v>
      </c>
      <c r="K39" s="133">
        <f t="shared" si="195"/>
        <v>268102.62585693673</v>
      </c>
      <c r="L39" s="133">
        <f t="shared" si="195"/>
        <v>249216.22703557255</v>
      </c>
      <c r="M39" s="133">
        <f t="shared" si="195"/>
        <v>246145.67434078016</v>
      </c>
      <c r="N39" s="133">
        <f t="shared" si="195"/>
        <v>243075.12164598776</v>
      </c>
      <c r="O39" s="133">
        <f t="shared" si="195"/>
        <v>240004.56895119537</v>
      </c>
      <c r="P39" s="133">
        <f t="shared" si="195"/>
        <v>236934.01625640297</v>
      </c>
      <c r="Q39" s="133">
        <f t="shared" si="195"/>
        <v>233863.46356161067</v>
      </c>
      <c r="R39" s="133">
        <f t="shared" si="195"/>
        <v>229994.50520558952</v>
      </c>
      <c r="S39" s="133">
        <f t="shared" si="195"/>
        <v>226125.54684956837</v>
      </c>
      <c r="T39" s="133">
        <f t="shared" si="195"/>
        <v>222256.58849354723</v>
      </c>
      <c r="U39" s="133">
        <f t="shared" si="195"/>
        <v>218387.63013752608</v>
      </c>
      <c r="V39" s="133">
        <f t="shared" si="195"/>
        <v>214518.67178150491</v>
      </c>
      <c r="W39" s="133">
        <f t="shared" si="195"/>
        <v>211274.89901958758</v>
      </c>
      <c r="X39" s="133">
        <f t="shared" si="195"/>
        <v>208031.12625767026</v>
      </c>
      <c r="Y39" s="133">
        <f t="shared" si="195"/>
        <v>204787.35349575293</v>
      </c>
      <c r="Z39" s="133">
        <f t="shared" si="195"/>
        <v>201543.58073383561</v>
      </c>
      <c r="AA39" s="133">
        <f t="shared" si="195"/>
        <v>198299.80797191826</v>
      </c>
      <c r="AB39" s="133">
        <f t="shared" ref="AB39" si="196">AB$23*BG39</f>
        <v>196789.56027393931</v>
      </c>
      <c r="AC39" s="133">
        <f t="shared" ref="AC39" si="197">AC$23*BH39</f>
        <v>195279.31257596036</v>
      </c>
      <c r="AD39" s="133">
        <f t="shared" ref="AD39" si="198">AD$23*BI39</f>
        <v>193769.06487798141</v>
      </c>
      <c r="AE39" s="133">
        <f t="shared" ref="AE39" si="199">AE$23*BJ39</f>
        <v>192258.81718000249</v>
      </c>
      <c r="AF39" s="133">
        <f t="shared" ref="AF39" si="200">AF$23*BK39</f>
        <v>190748.56948202362</v>
      </c>
      <c r="AG39" s="161">
        <f>B39/B$23</f>
        <v>0.8929624524847033</v>
      </c>
      <c r="AH39" s="161">
        <f t="shared" ref="AH39:AK39" si="201">C39/C$23</f>
        <v>0.88339816820283423</v>
      </c>
      <c r="AI39" s="161">
        <f t="shared" si="201"/>
        <v>0.87454443279042438</v>
      </c>
      <c r="AJ39" s="161">
        <f t="shared" si="201"/>
        <v>0.86632490015532682</v>
      </c>
      <c r="AK39" s="161">
        <f t="shared" si="201"/>
        <v>0.85867378352614709</v>
      </c>
      <c r="AL39" s="133">
        <v>0.85153409090909082</v>
      </c>
      <c r="AM39" s="133">
        <v>0.81906783672998085</v>
      </c>
      <c r="AN39" s="133">
        <v>0.7855712944490082</v>
      </c>
      <c r="AO39" s="133">
        <v>0.75099302034242077</v>
      </c>
      <c r="AP39" s="133">
        <v>0.71527808784275648</v>
      </c>
      <c r="AQ39" s="133">
        <v>0.67836778771983952</v>
      </c>
      <c r="AR39" s="133">
        <v>0.67836778771983952</v>
      </c>
      <c r="AS39" s="133">
        <v>0.67836778771983952</v>
      </c>
      <c r="AT39" s="133">
        <v>0.67836778771983952</v>
      </c>
      <c r="AU39" s="133">
        <v>0.67836778771983952</v>
      </c>
      <c r="AV39" s="133">
        <v>0.67836778771983952</v>
      </c>
      <c r="AW39" s="133">
        <v>0.67836778771983952</v>
      </c>
      <c r="AX39" s="133">
        <v>0.67836778771983952</v>
      </c>
      <c r="AY39" s="133">
        <v>0.67836778771983952</v>
      </c>
      <c r="AZ39" s="133">
        <v>0.67836778771983952</v>
      </c>
      <c r="BA39" s="133">
        <v>0.67836778771983952</v>
      </c>
      <c r="BB39" s="133">
        <v>0.67836778771983952</v>
      </c>
      <c r="BC39" s="133">
        <v>0.67836778771983952</v>
      </c>
      <c r="BD39" s="133">
        <v>0.67836778771983952</v>
      </c>
      <c r="BE39" s="133">
        <v>0.67836778771983952</v>
      </c>
      <c r="BF39" s="133">
        <v>0.67836778771983952</v>
      </c>
      <c r="BG39" s="60">
        <v>0.67836778771983952</v>
      </c>
      <c r="BH39" s="60">
        <v>0.67836778771983952</v>
      </c>
      <c r="BI39" s="60">
        <v>0.67836778771983952</v>
      </c>
      <c r="BJ39" s="60">
        <v>0.67836778771983952</v>
      </c>
      <c r="BK39" s="165">
        <v>0.67836778771983952</v>
      </c>
    </row>
    <row r="40" spans="1:96" x14ac:dyDescent="0.35">
      <c r="A40" s="142"/>
      <c r="B40" s="129"/>
      <c r="C40" s="153"/>
      <c r="D40" s="153"/>
      <c r="E40" s="153"/>
      <c r="F40" s="153"/>
      <c r="G40" s="128"/>
      <c r="H40" s="128"/>
      <c r="I40" s="128"/>
      <c r="J40" s="128"/>
      <c r="K40" s="128"/>
      <c r="L40" s="128"/>
      <c r="M40" s="128"/>
      <c r="N40" s="128"/>
      <c r="O40" s="128"/>
      <c r="P40" s="128" t="s">
        <v>115</v>
      </c>
      <c r="Q40" s="128">
        <f>Q39*0.761</f>
        <v>177970.09577038573</v>
      </c>
      <c r="R40" s="128">
        <f t="shared" ref="R40:AA40" si="202">R39*0.761</f>
        <v>175025.81846145363</v>
      </c>
      <c r="S40" s="128">
        <f t="shared" si="202"/>
        <v>172081.54115252153</v>
      </c>
      <c r="T40" s="128">
        <f t="shared" si="202"/>
        <v>169137.26384358943</v>
      </c>
      <c r="U40" s="128">
        <f t="shared" si="202"/>
        <v>166192.98653465736</v>
      </c>
      <c r="V40" s="128">
        <f t="shared" si="202"/>
        <v>163248.70922572524</v>
      </c>
      <c r="W40" s="128">
        <f t="shared" si="202"/>
        <v>160780.19815390615</v>
      </c>
      <c r="X40" s="128">
        <f t="shared" si="202"/>
        <v>158311.68708208707</v>
      </c>
      <c r="Y40" s="128">
        <f t="shared" si="202"/>
        <v>155843.17601026798</v>
      </c>
      <c r="Z40" s="128">
        <f t="shared" si="202"/>
        <v>153374.6649384489</v>
      </c>
      <c r="AA40" s="128">
        <f t="shared" si="202"/>
        <v>150906.15386662979</v>
      </c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53"/>
      <c r="BH40" s="153"/>
      <c r="BI40" s="153"/>
      <c r="BJ40" s="153"/>
      <c r="BK40" s="164"/>
    </row>
    <row r="41" spans="1:96" x14ac:dyDescent="0.35">
      <c r="A41" s="141"/>
      <c r="B41" s="134"/>
      <c r="C41" s="153"/>
      <c r="D41" s="153"/>
      <c r="E41" s="153"/>
      <c r="F41" s="153"/>
      <c r="G41" s="133"/>
      <c r="H41" s="133"/>
      <c r="I41" s="133"/>
      <c r="J41" s="133"/>
      <c r="K41" s="133"/>
      <c r="L41" s="133"/>
      <c r="M41" s="133"/>
      <c r="N41" s="133"/>
      <c r="O41" s="133"/>
      <c r="P41" s="133" t="s">
        <v>116</v>
      </c>
      <c r="Q41" s="133">
        <f>Q39*0.761</f>
        <v>177970.09577038573</v>
      </c>
      <c r="R41" s="133">
        <f>Q41+($AA$41-$Q$41)/10</f>
        <v>160173.08619334715</v>
      </c>
      <c r="S41" s="133">
        <f t="shared" ref="S41:Z41" si="203">R41+($AA$41-$Q$41)/10</f>
        <v>142376.07661630856</v>
      </c>
      <c r="T41" s="133">
        <f t="shared" si="203"/>
        <v>124579.06703926998</v>
      </c>
      <c r="U41" s="133">
        <f t="shared" si="203"/>
        <v>106782.0574622314</v>
      </c>
      <c r="V41" s="133">
        <f t="shared" si="203"/>
        <v>88985.04788519282</v>
      </c>
      <c r="W41" s="133">
        <f t="shared" si="203"/>
        <v>71188.038308154239</v>
      </c>
      <c r="X41" s="133">
        <f t="shared" si="203"/>
        <v>53391.028731115664</v>
      </c>
      <c r="Y41" s="133">
        <f t="shared" si="203"/>
        <v>35594.01915407709</v>
      </c>
      <c r="Z41" s="133">
        <f t="shared" si="203"/>
        <v>17797.009577038516</v>
      </c>
      <c r="AA41" s="133">
        <v>0</v>
      </c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  <c r="BD41" s="133"/>
      <c r="BE41" s="133"/>
      <c r="BF41" s="133"/>
      <c r="BG41" s="60"/>
      <c r="BH41" s="60"/>
      <c r="BI41" s="60"/>
      <c r="BJ41" s="60"/>
      <c r="BK41" s="165"/>
    </row>
    <row r="42" spans="1:96" x14ac:dyDescent="0.35">
      <c r="A42" s="142"/>
      <c r="B42" s="129"/>
      <c r="C42" s="153"/>
      <c r="D42" s="153"/>
      <c r="E42" s="153"/>
      <c r="F42" s="153"/>
      <c r="G42" s="128"/>
      <c r="H42" s="128"/>
      <c r="I42" s="128"/>
      <c r="J42" s="128"/>
      <c r="K42" s="128"/>
      <c r="L42" s="128"/>
      <c r="M42" s="128"/>
      <c r="N42" s="128"/>
      <c r="O42" s="128"/>
      <c r="P42" s="128" t="s">
        <v>108</v>
      </c>
      <c r="Q42" s="128">
        <f t="shared" ref="Q42:AA42" si="204">Q40-Q41</f>
        <v>0</v>
      </c>
      <c r="R42" s="128">
        <f t="shared" si="204"/>
        <v>14852.732268106483</v>
      </c>
      <c r="S42" s="128">
        <f t="shared" si="204"/>
        <v>29705.464536212967</v>
      </c>
      <c r="T42" s="128">
        <f t="shared" si="204"/>
        <v>44558.19680431945</v>
      </c>
      <c r="U42" s="128">
        <f t="shared" si="204"/>
        <v>59410.929072425963</v>
      </c>
      <c r="V42" s="128">
        <f t="shared" si="204"/>
        <v>74263.661340532417</v>
      </c>
      <c r="W42" s="128">
        <f t="shared" si="204"/>
        <v>89592.159845751914</v>
      </c>
      <c r="X42" s="128">
        <f t="shared" si="204"/>
        <v>104920.65835097141</v>
      </c>
      <c r="Y42" s="128">
        <f t="shared" si="204"/>
        <v>120249.15685619089</v>
      </c>
      <c r="Z42" s="128">
        <f t="shared" si="204"/>
        <v>135577.65536141038</v>
      </c>
      <c r="AA42" s="128">
        <f t="shared" si="204"/>
        <v>150906.15386662979</v>
      </c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53"/>
      <c r="BH42" s="153"/>
      <c r="BI42" s="153"/>
      <c r="BJ42" s="153"/>
      <c r="BK42" s="164"/>
    </row>
    <row r="43" spans="1:96" x14ac:dyDescent="0.35">
      <c r="A43" s="144" t="s">
        <v>114</v>
      </c>
      <c r="B43" s="151">
        <f>B39</f>
        <v>300924.95906999998</v>
      </c>
      <c r="C43" s="153">
        <f t="shared" si="70"/>
        <v>309647.73291068914</v>
      </c>
      <c r="D43" s="153">
        <f t="shared" si="70"/>
        <v>318370.5067513783</v>
      </c>
      <c r="E43" s="153">
        <f t="shared" si="70"/>
        <v>327093.28059206746</v>
      </c>
      <c r="F43" s="153">
        <f t="shared" si="70"/>
        <v>335816.05443275662</v>
      </c>
      <c r="G43" s="145">
        <f>G39</f>
        <v>344538.82827344578</v>
      </c>
      <c r="H43" s="145">
        <f t="shared" ref="H43:P43" si="205">H39</f>
        <v>325303.35455916869</v>
      </c>
      <c r="I43" s="145">
        <f t="shared" si="205"/>
        <v>306149.89094743278</v>
      </c>
      <c r="J43" s="145">
        <f t="shared" si="205"/>
        <v>287081.78867323638</v>
      </c>
      <c r="K43" s="145">
        <f t="shared" si="205"/>
        <v>268102.62585693673</v>
      </c>
      <c r="L43" s="145">
        <f t="shared" si="205"/>
        <v>249216.22703557255</v>
      </c>
      <c r="M43" s="145">
        <f t="shared" si="205"/>
        <v>246145.67434078016</v>
      </c>
      <c r="N43" s="145">
        <f t="shared" si="205"/>
        <v>243075.12164598776</v>
      </c>
      <c r="O43" s="145">
        <f t="shared" si="205"/>
        <v>240004.56895119537</v>
      </c>
      <c r="P43" s="145">
        <f t="shared" si="205"/>
        <v>236934.01625640297</v>
      </c>
      <c r="Q43" s="145">
        <f>Q39-Q42</f>
        <v>233863.46356161067</v>
      </c>
      <c r="R43" s="145">
        <f>R39-R42</f>
        <v>215141.77293748304</v>
      </c>
      <c r="S43" s="145">
        <f t="shared" ref="S43:AA43" si="206">S39-S42</f>
        <v>196420.08231335541</v>
      </c>
      <c r="T43" s="145">
        <f t="shared" si="206"/>
        <v>177698.39168922778</v>
      </c>
      <c r="U43" s="145">
        <f t="shared" si="206"/>
        <v>158976.70106510012</v>
      </c>
      <c r="V43" s="145">
        <f t="shared" si="206"/>
        <v>140255.01044097249</v>
      </c>
      <c r="W43" s="145">
        <f t="shared" si="206"/>
        <v>121682.73917383567</v>
      </c>
      <c r="X43" s="145">
        <f t="shared" si="206"/>
        <v>103110.46790669885</v>
      </c>
      <c r="Y43" s="145">
        <f t="shared" si="206"/>
        <v>84538.19663956204</v>
      </c>
      <c r="Z43" s="145">
        <f t="shared" si="206"/>
        <v>65965.925372425234</v>
      </c>
      <c r="AA43" s="145">
        <f t="shared" si="206"/>
        <v>47393.654105288471</v>
      </c>
      <c r="AB43" s="145">
        <f t="shared" ref="AB43" si="207">AB$23*BG43</f>
        <v>47032.704905471503</v>
      </c>
      <c r="AC43" s="145">
        <f t="shared" ref="AC43" si="208">AC$23*BH43</f>
        <v>46671.755705654534</v>
      </c>
      <c r="AD43" s="145">
        <f t="shared" ref="AD43" si="209">AD$23*BI43</f>
        <v>46310.806505837565</v>
      </c>
      <c r="AE43" s="145">
        <f t="shared" ref="AE43" si="210">AE$23*BJ43</f>
        <v>45949.857306020604</v>
      </c>
      <c r="AF43" s="145">
        <f t="shared" ref="AF43" si="211">AF$23*BK43</f>
        <v>45588.908106203649</v>
      </c>
      <c r="AG43" s="161">
        <f>B43/B$23</f>
        <v>0.8929624524847033</v>
      </c>
      <c r="AH43" s="161">
        <f t="shared" ref="AH43" si="212">C43/C$23</f>
        <v>0.88339816820283423</v>
      </c>
      <c r="AI43" s="161">
        <f t="shared" ref="AI43" si="213">D43/D$23</f>
        <v>0.87454443279042438</v>
      </c>
      <c r="AJ43" s="161">
        <f t="shared" ref="AJ43" si="214">E43/E$23</f>
        <v>0.86632490015532682</v>
      </c>
      <c r="AK43" s="161">
        <f t="shared" ref="AK43" si="215">F43/F$23</f>
        <v>0.85867378352614709</v>
      </c>
      <c r="AL43" s="161">
        <f t="shared" ref="AL43" si="216">G43/G$23</f>
        <v>0.85153409090909082</v>
      </c>
      <c r="AM43" s="161">
        <f t="shared" ref="AM43" si="217">H43/H$23</f>
        <v>0.81906783672998074</v>
      </c>
      <c r="AN43" s="161">
        <f t="shared" ref="AN43" si="218">I43/I$23</f>
        <v>0.7855712944490082</v>
      </c>
      <c r="AO43" s="161">
        <f t="shared" ref="AO43" si="219">J43/J$23</f>
        <v>0.75099302034242077</v>
      </c>
      <c r="AP43" s="161">
        <f t="shared" ref="AP43" si="220">K43/K$23</f>
        <v>0.71527808784275648</v>
      </c>
      <c r="AQ43" s="161">
        <f t="shared" ref="AQ43" si="221">L43/L$23</f>
        <v>0.67836778771983952</v>
      </c>
      <c r="AR43" s="161">
        <f t="shared" ref="AR43" si="222">M43/M$23</f>
        <v>0.67836778771983952</v>
      </c>
      <c r="AS43" s="161">
        <f t="shared" ref="AS43" si="223">N43/N$23</f>
        <v>0.67836778771983952</v>
      </c>
      <c r="AT43" s="161">
        <f t="shared" ref="AT43" si="224">O43/O$23</f>
        <v>0.67836778771983952</v>
      </c>
      <c r="AU43" s="161">
        <f t="shared" ref="AU43" si="225">P43/P$23</f>
        <v>0.67836778771983952</v>
      </c>
      <c r="AV43" s="161">
        <f t="shared" ref="AV43" si="226">Q43/Q$23</f>
        <v>0.67836778771983952</v>
      </c>
      <c r="AW43" s="161">
        <f t="shared" ref="AW43" si="227">R43/R$23</f>
        <v>0.6345597188213935</v>
      </c>
      <c r="AX43" s="161">
        <f t="shared" ref="AX43" si="228">S43/S$23</f>
        <v>0.5892525570819378</v>
      </c>
      <c r="AY43" s="161">
        <f t="shared" ref="AY43" si="229">T43/T$23</f>
        <v>0.54236801558346037</v>
      </c>
      <c r="AZ43" s="161">
        <f t="shared" ref="AZ43" si="230">U43/U$23</f>
        <v>0.49382225967934529</v>
      </c>
      <c r="BA43" s="161">
        <f t="shared" ref="BA43" si="231">V43/V$23</f>
        <v>0.44352540671319102</v>
      </c>
      <c r="BB43" s="161">
        <f t="shared" ref="BB43" si="232">W43/W$23</f>
        <v>0.39070259155297116</v>
      </c>
      <c r="BC43" s="161">
        <f t="shared" ref="BC43" si="233">X43/X$23</f>
        <v>0.33623247281749413</v>
      </c>
      <c r="BD43" s="161">
        <f t="shared" ref="BD43" si="234">Y43/Y$23</f>
        <v>0.28003677206265476</v>
      </c>
      <c r="BE43" s="161">
        <f t="shared" ref="BE43" si="235">Z43/Z$23</f>
        <v>0.22203217138868439</v>
      </c>
      <c r="BF43" s="161">
        <f t="shared" ref="BF43" si="236">AA43/AA$23</f>
        <v>0.16212990126504168</v>
      </c>
      <c r="BG43" s="162">
        <v>0.16212990126504168</v>
      </c>
      <c r="BH43" s="162">
        <v>0.16212990126504168</v>
      </c>
      <c r="BI43" s="162">
        <v>0.16212990126504168</v>
      </c>
      <c r="BJ43" s="162">
        <v>0.16212990126504168</v>
      </c>
      <c r="BK43" s="166">
        <v>0.16212990126504168</v>
      </c>
    </row>
    <row r="44" spans="1:96" x14ac:dyDescent="0.35">
      <c r="A44" s="142"/>
      <c r="B44" s="129"/>
      <c r="C44" s="153"/>
      <c r="D44" s="153"/>
      <c r="E44" s="153"/>
      <c r="F44" s="153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53"/>
      <c r="BH44" s="153"/>
      <c r="BI44" s="153"/>
      <c r="BJ44" s="153"/>
      <c r="BK44" s="164"/>
    </row>
    <row r="45" spans="1:96" x14ac:dyDescent="0.35">
      <c r="A45" s="141" t="s">
        <v>84</v>
      </c>
      <c r="B45" s="134">
        <v>0</v>
      </c>
      <c r="C45" s="153">
        <f t="shared" si="70"/>
        <v>404.60955345383638</v>
      </c>
      <c r="D45" s="153">
        <f t="shared" si="70"/>
        <v>809.21910690767277</v>
      </c>
      <c r="E45" s="153">
        <f t="shared" si="70"/>
        <v>1213.8286603615093</v>
      </c>
      <c r="F45" s="153">
        <f t="shared" si="70"/>
        <v>1618.4382138153455</v>
      </c>
      <c r="G45" s="133">
        <f>G$23*AL45</f>
        <v>2023.047767269182</v>
      </c>
      <c r="H45" s="133">
        <f t="shared" ref="H45:AA45" si="237">H$23*AM45</f>
        <v>2382.9773796849281</v>
      </c>
      <c r="I45" s="133">
        <f t="shared" si="237"/>
        <v>2728.0136784213109</v>
      </c>
      <c r="J45" s="133">
        <f t="shared" si="237"/>
        <v>3058.1566634783298</v>
      </c>
      <c r="K45" s="133">
        <f t="shared" si="237"/>
        <v>3373.4063348559857</v>
      </c>
      <c r="L45" s="133">
        <f t="shared" si="237"/>
        <v>3673.7626925542772</v>
      </c>
      <c r="M45" s="133">
        <f t="shared" si="237"/>
        <v>3628.4988585341907</v>
      </c>
      <c r="N45" s="133">
        <f t="shared" si="237"/>
        <v>3583.2350245141047</v>
      </c>
      <c r="O45" s="133">
        <f t="shared" si="237"/>
        <v>3537.9711904940186</v>
      </c>
      <c r="P45" s="133">
        <f t="shared" si="237"/>
        <v>3492.7073564739321</v>
      </c>
      <c r="Q45" s="133">
        <f t="shared" si="237"/>
        <v>3447.443522453847</v>
      </c>
      <c r="R45" s="133">
        <f t="shared" si="237"/>
        <v>3390.4101782111074</v>
      </c>
      <c r="S45" s="133">
        <f t="shared" si="237"/>
        <v>3333.3768339683675</v>
      </c>
      <c r="T45" s="133">
        <f t="shared" si="237"/>
        <v>3276.3434897256275</v>
      </c>
      <c r="U45" s="133">
        <f t="shared" si="237"/>
        <v>3219.3101454828879</v>
      </c>
      <c r="V45" s="133">
        <f t="shared" si="237"/>
        <v>3162.2768012401475</v>
      </c>
      <c r="W45" s="133">
        <f t="shared" si="237"/>
        <v>3114.4594841352118</v>
      </c>
      <c r="X45" s="133">
        <f t="shared" si="237"/>
        <v>3066.6421670302761</v>
      </c>
      <c r="Y45" s="133">
        <f t="shared" si="237"/>
        <v>3018.8248499253405</v>
      </c>
      <c r="Z45" s="133">
        <f t="shared" si="237"/>
        <v>2971.0075328204048</v>
      </c>
      <c r="AA45" s="133">
        <f t="shared" si="237"/>
        <v>2923.1902157154686</v>
      </c>
      <c r="AB45" s="133">
        <f>AB$23*BG45</f>
        <v>2900.9272526839359</v>
      </c>
      <c r="AC45" s="133">
        <f t="shared" ref="AC45" si="238">AC$23*BH45</f>
        <v>2878.6642896524031</v>
      </c>
      <c r="AD45" s="133">
        <f t="shared" ref="AD45" si="239">AD$23*BI45</f>
        <v>2856.4013266208703</v>
      </c>
      <c r="AE45" s="133">
        <f t="shared" ref="AE45" si="240">AE$23*BJ45</f>
        <v>2834.1383635893376</v>
      </c>
      <c r="AF45" s="133">
        <f t="shared" ref="AF45" si="241">AF$23*BK45</f>
        <v>2811.8754005578062</v>
      </c>
      <c r="AG45" s="161">
        <f>B45/B$23</f>
        <v>0</v>
      </c>
      <c r="AH45" s="161">
        <f t="shared" ref="AH45:AK45" si="242">C45/C$23</f>
        <v>1.154316019040833E-3</v>
      </c>
      <c r="AI45" s="161">
        <f t="shared" si="242"/>
        <v>2.2228757056519674E-3</v>
      </c>
      <c r="AJ45" s="161">
        <f t="shared" si="242"/>
        <v>3.2148932900422926E-3</v>
      </c>
      <c r="AK45" s="161">
        <f t="shared" si="242"/>
        <v>4.1383085951847967E-3</v>
      </c>
      <c r="AL45" s="133">
        <v>5.0000000000000001E-3</v>
      </c>
      <c r="AM45" s="133">
        <v>6.0000000000000001E-3</v>
      </c>
      <c r="AN45" s="133">
        <v>7.0000000000000001E-3</v>
      </c>
      <c r="AO45" s="133">
        <v>8.0000000000000002E-3</v>
      </c>
      <c r="AP45" s="133">
        <v>9.0000000000000011E-3</v>
      </c>
      <c r="AQ45" s="133">
        <v>1.0000000000000002E-2</v>
      </c>
      <c r="AR45" s="133">
        <v>1.0000000000000002E-2</v>
      </c>
      <c r="AS45" s="133">
        <v>1.0000000000000002E-2</v>
      </c>
      <c r="AT45" s="133">
        <v>1.0000000000000002E-2</v>
      </c>
      <c r="AU45" s="133">
        <v>1.0000000000000002E-2</v>
      </c>
      <c r="AV45" s="133">
        <v>1.0000000000000002E-2</v>
      </c>
      <c r="AW45" s="133">
        <v>1.0000000000000002E-2</v>
      </c>
      <c r="AX45" s="133">
        <v>1.0000000000000002E-2</v>
      </c>
      <c r="AY45" s="133">
        <v>1.0000000000000002E-2</v>
      </c>
      <c r="AZ45" s="133">
        <v>1.0000000000000002E-2</v>
      </c>
      <c r="BA45" s="133">
        <v>1.0000000000000002E-2</v>
      </c>
      <c r="BB45" s="133">
        <v>1.0000000000000002E-2</v>
      </c>
      <c r="BC45" s="133">
        <v>1.0000000000000002E-2</v>
      </c>
      <c r="BD45" s="133">
        <v>1.0000000000000002E-2</v>
      </c>
      <c r="BE45" s="133">
        <v>1.0000000000000002E-2</v>
      </c>
      <c r="BF45" s="133">
        <v>1.0000000000000002E-2</v>
      </c>
      <c r="BG45" s="60">
        <v>1.0000000000000002E-2</v>
      </c>
      <c r="BH45" s="60">
        <v>1.0000000000000002E-2</v>
      </c>
      <c r="BI45" s="60">
        <v>1.0000000000000002E-2</v>
      </c>
      <c r="BJ45" s="60">
        <v>1.0000000000000002E-2</v>
      </c>
      <c r="BK45" s="165">
        <v>1.0000000000000002E-2</v>
      </c>
    </row>
    <row r="46" spans="1:96" x14ac:dyDescent="0.35">
      <c r="A46" s="142" t="s">
        <v>113</v>
      </c>
      <c r="B46" s="129"/>
      <c r="C46" s="153"/>
      <c r="D46" s="153"/>
      <c r="E46" s="153"/>
      <c r="F46" s="153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128"/>
      <c r="BC46" s="128"/>
      <c r="BD46" s="128"/>
      <c r="BE46" s="128"/>
      <c r="BF46" s="128"/>
      <c r="BG46" s="153"/>
      <c r="BH46" s="153"/>
      <c r="BI46" s="153"/>
      <c r="BJ46" s="153"/>
      <c r="BK46" s="164"/>
    </row>
    <row r="47" spans="1:96" ht="15" thickBot="1" x14ac:dyDescent="0.4">
      <c r="A47" s="155" t="s">
        <v>112</v>
      </c>
      <c r="B47" s="156">
        <f>B45</f>
        <v>0</v>
      </c>
      <c r="C47" s="169">
        <f t="shared" si="70"/>
        <v>404.60955345383638</v>
      </c>
      <c r="D47" s="169">
        <f t="shared" si="70"/>
        <v>809.21910690767277</v>
      </c>
      <c r="E47" s="169">
        <f t="shared" si="70"/>
        <v>1213.8286603615093</v>
      </c>
      <c r="F47" s="169">
        <f t="shared" si="70"/>
        <v>1618.4382138153455</v>
      </c>
      <c r="G47" s="157">
        <f>G45</f>
        <v>2023.047767269182</v>
      </c>
      <c r="H47" s="157">
        <f t="shared" ref="H47:P47" si="243">H45</f>
        <v>2382.9773796849281</v>
      </c>
      <c r="I47" s="157">
        <f t="shared" si="243"/>
        <v>2728.0136784213109</v>
      </c>
      <c r="J47" s="157">
        <f t="shared" si="243"/>
        <v>3058.1566634783298</v>
      </c>
      <c r="K47" s="157">
        <f t="shared" si="243"/>
        <v>3373.4063348559857</v>
      </c>
      <c r="L47" s="157">
        <f t="shared" si="243"/>
        <v>3673.7626925542772</v>
      </c>
      <c r="M47" s="157">
        <f t="shared" si="243"/>
        <v>3628.4988585341907</v>
      </c>
      <c r="N47" s="157">
        <f t="shared" si="243"/>
        <v>3583.2350245141047</v>
      </c>
      <c r="O47" s="157">
        <f t="shared" si="243"/>
        <v>3537.9711904940186</v>
      </c>
      <c r="P47" s="157">
        <f t="shared" si="243"/>
        <v>3492.7073564739321</v>
      </c>
      <c r="Q47" s="157">
        <f>Q45+Q46*(Q42+Q32)</f>
        <v>3447.443522453847</v>
      </c>
      <c r="R47" s="157">
        <f>R45+R46*(R42+R32)</f>
        <v>3390.4101782111074</v>
      </c>
      <c r="S47" s="157">
        <f t="shared" ref="S47:Z47" si="244">S45+S46*(S42+S32)</f>
        <v>3333.3768339683675</v>
      </c>
      <c r="T47" s="157">
        <f t="shared" si="244"/>
        <v>3276.3434897256275</v>
      </c>
      <c r="U47" s="157">
        <f t="shared" si="244"/>
        <v>3219.3101454828879</v>
      </c>
      <c r="V47" s="157">
        <f t="shared" si="244"/>
        <v>3162.2768012401475</v>
      </c>
      <c r="W47" s="157">
        <f t="shared" si="244"/>
        <v>3114.4594841352118</v>
      </c>
      <c r="X47" s="157">
        <f t="shared" si="244"/>
        <v>3066.6421670302761</v>
      </c>
      <c r="Y47" s="157">
        <f t="shared" si="244"/>
        <v>3018.8248499253405</v>
      </c>
      <c r="Z47" s="157">
        <f t="shared" si="244"/>
        <v>2971.0075328204048</v>
      </c>
      <c r="AA47" s="157">
        <f>AA45+AA46*(AA42+AA32)</f>
        <v>2923.1902157154686</v>
      </c>
      <c r="AB47" s="157">
        <f>AB$23*BG47</f>
        <v>2900.9272526839359</v>
      </c>
      <c r="AC47" s="157">
        <f t="shared" ref="AC47:AF47" si="245">AC$23*BH47</f>
        <v>2878.6642896524031</v>
      </c>
      <c r="AD47" s="157">
        <f t="shared" si="245"/>
        <v>2856.4013266208703</v>
      </c>
      <c r="AE47" s="157">
        <f t="shared" si="245"/>
        <v>2834.1383635893376</v>
      </c>
      <c r="AF47" s="157">
        <f t="shared" si="245"/>
        <v>2811.8754005578062</v>
      </c>
      <c r="AG47" s="157">
        <f>B47/B$23</f>
        <v>0</v>
      </c>
      <c r="AH47" s="157">
        <f t="shared" ref="AH47" si="246">C47/C$23</f>
        <v>1.154316019040833E-3</v>
      </c>
      <c r="AI47" s="157">
        <f t="shared" ref="AI47" si="247">D47/D$23</f>
        <v>2.2228757056519674E-3</v>
      </c>
      <c r="AJ47" s="157">
        <f t="shared" ref="AJ47" si="248">E47/E$23</f>
        <v>3.2148932900422926E-3</v>
      </c>
      <c r="AK47" s="157">
        <f t="shared" ref="AK47" si="249">F47/F$23</f>
        <v>4.1383085951847967E-3</v>
      </c>
      <c r="AL47" s="157">
        <f t="shared" ref="AL47" si="250">G47/G$23</f>
        <v>5.0000000000000001E-3</v>
      </c>
      <c r="AM47" s="157">
        <f t="shared" ref="AM47" si="251">H47/H$23</f>
        <v>6.0000000000000001E-3</v>
      </c>
      <c r="AN47" s="157">
        <f t="shared" ref="AN47" si="252">I47/I$23</f>
        <v>7.000000000000001E-3</v>
      </c>
      <c r="AO47" s="157">
        <f t="shared" ref="AO47" si="253">J47/J$23</f>
        <v>8.0000000000000002E-3</v>
      </c>
      <c r="AP47" s="157">
        <f t="shared" ref="AP47" si="254">K47/K$23</f>
        <v>9.0000000000000011E-3</v>
      </c>
      <c r="AQ47" s="157">
        <f t="shared" ref="AQ47" si="255">L47/L$23</f>
        <v>1.0000000000000002E-2</v>
      </c>
      <c r="AR47" s="157">
        <f t="shared" ref="AR47" si="256">M47/M$23</f>
        <v>1.0000000000000002E-2</v>
      </c>
      <c r="AS47" s="157">
        <f t="shared" ref="AS47" si="257">N47/N$23</f>
        <v>1.0000000000000002E-2</v>
      </c>
      <c r="AT47" s="157">
        <f t="shared" ref="AT47" si="258">O47/O$23</f>
        <v>1.0000000000000002E-2</v>
      </c>
      <c r="AU47" s="157">
        <f t="shared" ref="AU47" si="259">P47/P$23</f>
        <v>1.0000000000000002E-2</v>
      </c>
      <c r="AV47" s="157">
        <f t="shared" ref="AV47" si="260">Q47/Q$23</f>
        <v>1.0000000000000002E-2</v>
      </c>
      <c r="AW47" s="157">
        <f t="shared" ref="AW47" si="261">R47/R$23</f>
        <v>1.0000000000000002E-2</v>
      </c>
      <c r="AX47" s="157">
        <f t="shared" ref="AX47" si="262">S47/S$23</f>
        <v>1.0000000000000002E-2</v>
      </c>
      <c r="AY47" s="157">
        <f t="shared" ref="AY47" si="263">T47/T$23</f>
        <v>1.0000000000000002E-2</v>
      </c>
      <c r="AZ47" s="157">
        <f t="shared" ref="AZ47" si="264">U47/U$23</f>
        <v>1.0000000000000002E-2</v>
      </c>
      <c r="BA47" s="157">
        <f t="shared" ref="BA47" si="265">V47/V$23</f>
        <v>1.0000000000000002E-2</v>
      </c>
      <c r="BB47" s="157">
        <f t="shared" ref="BB47" si="266">W47/W$23</f>
        <v>1.0000000000000002E-2</v>
      </c>
      <c r="BC47" s="157">
        <f t="shared" ref="BC47" si="267">X47/X$23</f>
        <v>1.0000000000000002E-2</v>
      </c>
      <c r="BD47" s="157">
        <f t="shared" ref="BD47" si="268">Y47/Y$23</f>
        <v>1.0000000000000002E-2</v>
      </c>
      <c r="BE47" s="157">
        <f t="shared" ref="BE47" si="269">Z47/Z$23</f>
        <v>1.0000000000000002E-2</v>
      </c>
      <c r="BF47" s="157">
        <f t="shared" ref="BF47" si="270">AA47/AA$23</f>
        <v>1.0000000000000002E-2</v>
      </c>
      <c r="BG47" s="167">
        <v>1.0000000000000002E-2</v>
      </c>
      <c r="BH47" s="167">
        <v>1.0000000000000002E-2</v>
      </c>
      <c r="BI47" s="167">
        <v>1.0000000000000002E-2</v>
      </c>
      <c r="BJ47" s="167">
        <v>1.0000000000000002E-2</v>
      </c>
      <c r="BK47" s="168">
        <v>1.0000000000000002E-2</v>
      </c>
    </row>
    <row r="48" spans="1:96" x14ac:dyDescent="0.35">
      <c r="A48" s="152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3"/>
      <c r="BF48" s="154"/>
      <c r="BG48" s="154"/>
      <c r="BH48" s="154"/>
      <c r="BI48" s="154"/>
      <c r="BJ48" s="154"/>
      <c r="BK48" s="154"/>
    </row>
    <row r="49" spans="1:63" x14ac:dyDescent="0.35">
      <c r="A49" s="137" t="s">
        <v>31</v>
      </c>
      <c r="B49" s="132">
        <f>'Initial demand info'!F30</f>
        <v>192564.53910000002</v>
      </c>
      <c r="C49" s="128">
        <f t="shared" ref="C49:F49" si="271">B49+($G49-$B49)/5</f>
        <v>194986.62032385284</v>
      </c>
      <c r="D49" s="128">
        <f t="shared" si="271"/>
        <v>197408.70154770566</v>
      </c>
      <c r="E49" s="128">
        <f t="shared" si="271"/>
        <v>199830.78277155847</v>
      </c>
      <c r="F49" s="128">
        <f t="shared" si="271"/>
        <v>202252.86399541129</v>
      </c>
      <c r="G49" s="160">
        <f>'Initial demand info'!K36</f>
        <v>204674.94521926413</v>
      </c>
      <c r="H49" s="128">
        <f>G49+($L49-$G49)/5</f>
        <v>202722.27160703222</v>
      </c>
      <c r="I49" s="128">
        <f t="shared" ref="I49:K49" si="272">H49+($L49-$G49)/5</f>
        <v>200769.59799480031</v>
      </c>
      <c r="J49" s="128">
        <f t="shared" si="272"/>
        <v>198816.9243825684</v>
      </c>
      <c r="K49" s="128">
        <f t="shared" si="272"/>
        <v>196864.25077033648</v>
      </c>
      <c r="L49" s="127">
        <f>'Initial demand info'!L36</f>
        <v>194911.57715810454</v>
      </c>
      <c r="M49" s="128">
        <f>L49+($Q49-$L49)/5</f>
        <v>191413.98667286028</v>
      </c>
      <c r="N49" s="128">
        <f t="shared" ref="N49:P49" si="273">M49+($Q49-$L49)/5</f>
        <v>187916.39618761602</v>
      </c>
      <c r="O49" s="128">
        <f t="shared" si="273"/>
        <v>184418.80570237176</v>
      </c>
      <c r="P49" s="128">
        <f t="shared" si="273"/>
        <v>180921.21521712749</v>
      </c>
      <c r="Q49" s="127">
        <f>'Initial demand info'!M36</f>
        <v>177423.62473188323</v>
      </c>
      <c r="R49" s="128">
        <f>Q49+($V49-$Q49)/5</f>
        <v>176278.29503247267</v>
      </c>
      <c r="S49" s="128">
        <f t="shared" ref="S49:U49" si="274">R49+($V49-$Q49)/5</f>
        <v>175132.96533306211</v>
      </c>
      <c r="T49" s="128">
        <f t="shared" si="274"/>
        <v>173987.63563365155</v>
      </c>
      <c r="U49" s="128">
        <f t="shared" si="274"/>
        <v>172842.30593424098</v>
      </c>
      <c r="V49" s="127">
        <f>'Initial demand info'!N36</f>
        <v>171696.97623483045</v>
      </c>
      <c r="W49" s="128">
        <f>V49+($AA49-$V49)/5</f>
        <v>171014.24875712502</v>
      </c>
      <c r="X49" s="128">
        <f t="shared" ref="X49:Z49" si="275">W49+($AA49-$V49)/5</f>
        <v>170331.5212794196</v>
      </c>
      <c r="Y49" s="128">
        <f t="shared" si="275"/>
        <v>169648.79380171417</v>
      </c>
      <c r="Z49" s="128">
        <f t="shared" si="275"/>
        <v>168966.06632400875</v>
      </c>
      <c r="AA49" s="127">
        <f>'Initial demand info'!O36</f>
        <v>168283.33884630326</v>
      </c>
      <c r="AB49" s="128">
        <f>AA49+($AF49-$AA49)/5</f>
        <v>167296.11256623358</v>
      </c>
      <c r="AC49" s="128">
        <f t="shared" ref="AC49:AE49" si="276">AB49+($AF49-$AA49)/5</f>
        <v>166308.88628616391</v>
      </c>
      <c r="AD49" s="128">
        <f t="shared" si="276"/>
        <v>165321.66000609423</v>
      </c>
      <c r="AE49" s="128">
        <f t="shared" si="276"/>
        <v>164334.43372602455</v>
      </c>
      <c r="AF49" s="127">
        <f>'Initial demand info'!P36</f>
        <v>163347.2074459549</v>
      </c>
      <c r="AG49" s="133">
        <v>1</v>
      </c>
      <c r="AH49" s="133">
        <v>1</v>
      </c>
      <c r="AI49" s="133">
        <v>1</v>
      </c>
      <c r="AJ49" s="133">
        <v>1</v>
      </c>
      <c r="AK49" s="133">
        <v>1</v>
      </c>
      <c r="AL49" s="133">
        <v>0.99999999999999978</v>
      </c>
      <c r="AM49" s="133">
        <v>0.99999999999999967</v>
      </c>
      <c r="AN49" s="133">
        <v>0.99999999999999978</v>
      </c>
      <c r="AO49" s="133">
        <v>0.99999999999999967</v>
      </c>
      <c r="AP49" s="133">
        <v>0.99999999999999967</v>
      </c>
      <c r="AQ49" s="133">
        <v>1</v>
      </c>
      <c r="AR49" s="133">
        <v>1</v>
      </c>
      <c r="AS49" s="133">
        <v>1</v>
      </c>
      <c r="AT49" s="133">
        <v>1</v>
      </c>
      <c r="AU49" s="133">
        <v>1</v>
      </c>
      <c r="AV49" s="133">
        <v>1</v>
      </c>
      <c r="AW49" s="133">
        <v>1</v>
      </c>
      <c r="AX49" s="133">
        <v>1</v>
      </c>
      <c r="AY49" s="133">
        <v>1</v>
      </c>
      <c r="AZ49" s="133">
        <v>1</v>
      </c>
      <c r="BA49" s="133">
        <v>1</v>
      </c>
      <c r="BB49" s="133">
        <v>1</v>
      </c>
      <c r="BC49" s="133">
        <v>1</v>
      </c>
      <c r="BD49" s="133">
        <v>1</v>
      </c>
      <c r="BE49" s="133">
        <v>1</v>
      </c>
      <c r="BF49" s="135">
        <v>1</v>
      </c>
      <c r="BG49" s="135">
        <v>1</v>
      </c>
      <c r="BH49" s="135">
        <v>1</v>
      </c>
      <c r="BI49" s="135">
        <v>1</v>
      </c>
      <c r="BJ49" s="135">
        <v>1</v>
      </c>
      <c r="BK49" s="135">
        <v>1</v>
      </c>
    </row>
    <row r="50" spans="1:63" x14ac:dyDescent="0.35">
      <c r="A50" s="136" t="s">
        <v>13</v>
      </c>
      <c r="B50" s="127">
        <f>'Initial demand info'!F31</f>
        <v>30117.036370000005</v>
      </c>
      <c r="C50" s="128">
        <f t="shared" ref="C50:F50" si="277">B50+($G50-$B50)/5</f>
        <v>26376.277834467499</v>
      </c>
      <c r="D50" s="128">
        <f t="shared" si="277"/>
        <v>22635.519298934993</v>
      </c>
      <c r="E50" s="128">
        <f t="shared" si="277"/>
        <v>18894.760763402486</v>
      </c>
      <c r="F50" s="128">
        <f t="shared" si="277"/>
        <v>15154.002227869982</v>
      </c>
      <c r="G50" s="133">
        <f>G$49*AL50</f>
        <v>11413.243692337483</v>
      </c>
      <c r="H50" s="133">
        <f t="shared" ref="H50:AF54" si="278">H$49*AM50</f>
        <v>13087.029768662276</v>
      </c>
      <c r="I50" s="133">
        <f t="shared" si="278"/>
        <v>14797.069410793827</v>
      </c>
      <c r="J50" s="133">
        <f t="shared" si="278"/>
        <v>16545.581449970425</v>
      </c>
      <c r="K50" s="133">
        <f t="shared" si="278"/>
        <v>18334.969554142561</v>
      </c>
      <c r="L50" s="133">
        <f t="shared" si="278"/>
        <v>20167.841884296722</v>
      </c>
      <c r="M50" s="133">
        <f t="shared" si="278"/>
        <v>19805.940077790849</v>
      </c>
      <c r="N50" s="133">
        <f t="shared" si="278"/>
        <v>19444.038271284975</v>
      </c>
      <c r="O50" s="133">
        <f t="shared" si="278"/>
        <v>19082.136464779102</v>
      </c>
      <c r="P50" s="133">
        <f t="shared" si="278"/>
        <v>18720.234658273228</v>
      </c>
      <c r="Q50" s="133">
        <f t="shared" si="278"/>
        <v>18358.332851767354</v>
      </c>
      <c r="R50" s="133">
        <f t="shared" si="278"/>
        <v>18239.823584027119</v>
      </c>
      <c r="S50" s="133">
        <f t="shared" si="278"/>
        <v>18121.314316286884</v>
      </c>
      <c r="T50" s="133">
        <f t="shared" si="278"/>
        <v>18002.805048546648</v>
      </c>
      <c r="U50" s="133">
        <f t="shared" si="278"/>
        <v>17884.295780806417</v>
      </c>
      <c r="V50" s="133">
        <f t="shared" si="278"/>
        <v>17765.786513066181</v>
      </c>
      <c r="W50" s="133">
        <f t="shared" si="278"/>
        <v>17695.143506523484</v>
      </c>
      <c r="X50" s="133">
        <f t="shared" si="278"/>
        <v>17624.500499980786</v>
      </c>
      <c r="Y50" s="133">
        <f t="shared" si="278"/>
        <v>17553.857493438085</v>
      </c>
      <c r="Z50" s="133">
        <f t="shared" si="278"/>
        <v>17483.214486895387</v>
      </c>
      <c r="AA50" s="133">
        <f t="shared" si="278"/>
        <v>17412.571480352683</v>
      </c>
      <c r="AB50" s="133">
        <f t="shared" si="278"/>
        <v>17310.421450011912</v>
      </c>
      <c r="AC50" s="133">
        <f t="shared" si="278"/>
        <v>17208.271419671142</v>
      </c>
      <c r="AD50" s="133">
        <f t="shared" si="278"/>
        <v>17106.121389330372</v>
      </c>
      <c r="AE50" s="133">
        <f t="shared" si="278"/>
        <v>17003.971358989602</v>
      </c>
      <c r="AF50" s="133">
        <f t="shared" si="278"/>
        <v>16901.821328648835</v>
      </c>
      <c r="AG50" s="161">
        <f>B50/B$49</f>
        <v>0.15639970116387852</v>
      </c>
      <c r="AH50" s="161">
        <f t="shared" ref="AH50:AK50" si="279">C50/C$49</f>
        <v>0.13527224478612532</v>
      </c>
      <c r="AI50" s="161">
        <f t="shared" si="279"/>
        <v>0.11466322974352226</v>
      </c>
      <c r="AJ50" s="161">
        <f t="shared" si="279"/>
        <v>9.4553804480676545E-2</v>
      </c>
      <c r="AK50" s="161">
        <f t="shared" si="279"/>
        <v>7.4926020470166471E-2</v>
      </c>
      <c r="AL50" s="128">
        <v>5.5762778781304694E-2</v>
      </c>
      <c r="AM50" s="128">
        <v>6.455644791723171E-2</v>
      </c>
      <c r="AN50" s="128">
        <v>7.3701743483976359E-2</v>
      </c>
      <c r="AO50" s="128">
        <v>8.3220186115207234E-2</v>
      </c>
      <c r="AP50" s="128">
        <v>9.3135089191649589E-2</v>
      </c>
      <c r="AQ50" s="128">
        <v>0.10347174948944858</v>
      </c>
      <c r="AR50" s="128">
        <v>0.10347174948944858</v>
      </c>
      <c r="AS50" s="128">
        <v>0.10347174948944858</v>
      </c>
      <c r="AT50" s="128">
        <v>0.10347174948944858</v>
      </c>
      <c r="AU50" s="128">
        <v>0.10347174948944858</v>
      </c>
      <c r="AV50" s="128">
        <v>0.10347174948944858</v>
      </c>
      <c r="AW50" s="128">
        <v>0.10347174948944858</v>
      </c>
      <c r="AX50" s="128">
        <v>0.10347174948944858</v>
      </c>
      <c r="AY50" s="128">
        <v>0.10347174948944858</v>
      </c>
      <c r="AZ50" s="128">
        <v>0.10347174948944858</v>
      </c>
      <c r="BA50" s="128">
        <v>0.10347174948944858</v>
      </c>
      <c r="BB50" s="128">
        <v>0.10347174948944858</v>
      </c>
      <c r="BC50" s="128">
        <v>0.10347174948944858</v>
      </c>
      <c r="BD50" s="128">
        <v>0.10347174948944858</v>
      </c>
      <c r="BE50" s="128">
        <v>0.10347174948944858</v>
      </c>
      <c r="BF50" s="130">
        <v>0.10347174948944858</v>
      </c>
      <c r="BG50" s="130">
        <v>0.10347174948944858</v>
      </c>
      <c r="BH50" s="130">
        <v>0.10347174948944858</v>
      </c>
      <c r="BI50" s="130">
        <v>0.10347174948944858</v>
      </c>
      <c r="BJ50" s="130">
        <v>0.10347174948944858</v>
      </c>
      <c r="BK50" s="130">
        <v>0.10347174948944858</v>
      </c>
    </row>
    <row r="51" spans="1:63" x14ac:dyDescent="0.35">
      <c r="A51" s="131" t="s">
        <v>12</v>
      </c>
      <c r="B51" s="132">
        <f>'Initial demand info'!F32</f>
        <v>3405.97343</v>
      </c>
      <c r="C51" s="128">
        <f t="shared" ref="C51:F51" si="280">B51+($G51-$B51)/5</f>
        <v>3876.859066086673</v>
      </c>
      <c r="D51" s="128">
        <f t="shared" si="280"/>
        <v>4347.744702173346</v>
      </c>
      <c r="E51" s="128">
        <f t="shared" si="280"/>
        <v>4818.630338260019</v>
      </c>
      <c r="F51" s="128">
        <f t="shared" si="280"/>
        <v>5289.515974346692</v>
      </c>
      <c r="G51" s="133">
        <f t="shared" ref="G51:G54" si="281">G$49*AL51</f>
        <v>5760.401610433365</v>
      </c>
      <c r="H51" s="133">
        <f t="shared" si="278"/>
        <v>5569.5213389235823</v>
      </c>
      <c r="I51" s="133">
        <f t="shared" si="278"/>
        <v>5375.8768315488105</v>
      </c>
      <c r="J51" s="133">
        <f t="shared" si="278"/>
        <v>5179.2989084573355</v>
      </c>
      <c r="K51" s="133">
        <f t="shared" si="278"/>
        <v>4979.6042965004781</v>
      </c>
      <c r="L51" s="133">
        <f t="shared" si="278"/>
        <v>4776.5941304913222</v>
      </c>
      <c r="M51" s="133">
        <f t="shared" si="278"/>
        <v>4690.8805447399318</v>
      </c>
      <c r="N51" s="133">
        <f t="shared" si="278"/>
        <v>4605.1669589885405</v>
      </c>
      <c r="O51" s="133">
        <f t="shared" si="278"/>
        <v>4519.4533732371501</v>
      </c>
      <c r="P51" s="133">
        <f t="shared" si="278"/>
        <v>4433.7397874857588</v>
      </c>
      <c r="Q51" s="133">
        <f t="shared" si="278"/>
        <v>4348.0262017343675</v>
      </c>
      <c r="R51" s="133">
        <f t="shared" si="278"/>
        <v>4319.9582172695755</v>
      </c>
      <c r="S51" s="133">
        <f t="shared" si="278"/>
        <v>4291.8902328047825</v>
      </c>
      <c r="T51" s="133">
        <f t="shared" si="278"/>
        <v>4263.8222483399904</v>
      </c>
      <c r="U51" s="133">
        <f t="shared" si="278"/>
        <v>4235.7542638751984</v>
      </c>
      <c r="V51" s="133">
        <f t="shared" si="278"/>
        <v>4207.6862794104063</v>
      </c>
      <c r="W51" s="133">
        <f t="shared" si="278"/>
        <v>4190.9550410187139</v>
      </c>
      <c r="X51" s="133">
        <f t="shared" si="278"/>
        <v>4174.2238026270225</v>
      </c>
      <c r="Y51" s="133">
        <f t="shared" si="278"/>
        <v>4157.492564235331</v>
      </c>
      <c r="Z51" s="133">
        <f t="shared" si="278"/>
        <v>4140.7613258436386</v>
      </c>
      <c r="AA51" s="133">
        <f t="shared" si="278"/>
        <v>4124.0300874519453</v>
      </c>
      <c r="AB51" s="133">
        <f t="shared" si="278"/>
        <v>4099.8366592133425</v>
      </c>
      <c r="AC51" s="133">
        <f t="shared" si="278"/>
        <v>4075.6432309747388</v>
      </c>
      <c r="AD51" s="133">
        <f t="shared" si="278"/>
        <v>4051.4498027361356</v>
      </c>
      <c r="AE51" s="133">
        <f t="shared" si="278"/>
        <v>4027.2563744975323</v>
      </c>
      <c r="AF51" s="133">
        <f t="shared" si="278"/>
        <v>4003.0629462589295</v>
      </c>
      <c r="AG51" s="161">
        <f t="shared" ref="AG51:AG54" si="282">B51/B$49</f>
        <v>1.7687438434504578E-2</v>
      </c>
      <c r="AH51" s="161">
        <f t="shared" ref="AH51:AH54" si="283">C51/C$49</f>
        <v>1.9882692769624944E-2</v>
      </c>
      <c r="AI51" s="161">
        <f t="shared" ref="AI51:AI54" si="284">D51/D$49</f>
        <v>2.2024078311070158E-2</v>
      </c>
      <c r="AJ51" s="161">
        <f t="shared" ref="AJ51:AJ54" si="285">E51/E$49</f>
        <v>2.4113553835039301E-2</v>
      </c>
      <c r="AK51" s="161">
        <f t="shared" ref="AK51:AK54" si="286">F51/F$49</f>
        <v>2.6152984288354504E-2</v>
      </c>
      <c r="AL51" s="133">
        <v>2.8144146340248744E-2</v>
      </c>
      <c r="AM51" s="133">
        <v>2.7473652967542918E-2</v>
      </c>
      <c r="AN51" s="133">
        <v>2.6776349035116557E-2</v>
      </c>
      <c r="AO51" s="133">
        <v>2.6050593653139918E-2</v>
      </c>
      <c r="AP51" s="133">
        <v>2.5294609239692414E-2</v>
      </c>
      <c r="AQ51" s="133">
        <v>2.4506466984343053E-2</v>
      </c>
      <c r="AR51" s="133">
        <v>2.4506466984343053E-2</v>
      </c>
      <c r="AS51" s="133">
        <v>2.4506466984343053E-2</v>
      </c>
      <c r="AT51" s="133">
        <v>2.4506466984343053E-2</v>
      </c>
      <c r="AU51" s="133">
        <v>2.4506466984343053E-2</v>
      </c>
      <c r="AV51" s="133">
        <v>2.4506466984343053E-2</v>
      </c>
      <c r="AW51" s="133">
        <v>2.4506466984343053E-2</v>
      </c>
      <c r="AX51" s="133">
        <v>2.4506466984343053E-2</v>
      </c>
      <c r="AY51" s="133">
        <v>2.4506466984343053E-2</v>
      </c>
      <c r="AZ51" s="133">
        <v>2.4506466984343053E-2</v>
      </c>
      <c r="BA51" s="133">
        <v>2.4506466984343053E-2</v>
      </c>
      <c r="BB51" s="133">
        <v>2.4506466984343053E-2</v>
      </c>
      <c r="BC51" s="133">
        <v>2.4506466984343053E-2</v>
      </c>
      <c r="BD51" s="133">
        <v>2.4506466984343053E-2</v>
      </c>
      <c r="BE51" s="133">
        <v>2.4506466984343053E-2</v>
      </c>
      <c r="BF51" s="135">
        <v>2.4506466984343053E-2</v>
      </c>
      <c r="BG51" s="135">
        <v>2.4506466984343053E-2</v>
      </c>
      <c r="BH51" s="135">
        <v>2.4506466984343053E-2</v>
      </c>
      <c r="BI51" s="135">
        <v>2.4506466984343053E-2</v>
      </c>
      <c r="BJ51" s="135">
        <v>2.4506466984343053E-2</v>
      </c>
      <c r="BK51" s="135">
        <v>2.4506466984343053E-2</v>
      </c>
    </row>
    <row r="52" spans="1:63" x14ac:dyDescent="0.35">
      <c r="A52" s="136" t="s">
        <v>11</v>
      </c>
      <c r="B52" s="127">
        <f>'Initial demand info'!F33</f>
        <v>75259.253530000002</v>
      </c>
      <c r="C52" s="128">
        <f t="shared" ref="C52:F52" si="287">B52+($G52-$B52)/5</f>
        <v>80209.612903676651</v>
      </c>
      <c r="D52" s="128">
        <f t="shared" si="287"/>
        <v>85159.972277353299</v>
      </c>
      <c r="E52" s="128">
        <f t="shared" si="287"/>
        <v>90110.331651029948</v>
      </c>
      <c r="F52" s="128">
        <f t="shared" si="287"/>
        <v>95060.691024706597</v>
      </c>
      <c r="G52" s="133">
        <f t="shared" si="281"/>
        <v>100011.05039838326</v>
      </c>
      <c r="H52" s="133">
        <f t="shared" si="278"/>
        <v>99850.444135038619</v>
      </c>
      <c r="I52" s="133">
        <f t="shared" si="278"/>
        <v>99705.975717943118</v>
      </c>
      <c r="J52" s="133">
        <f t="shared" si="278"/>
        <v>99578.632833592681</v>
      </c>
      <c r="K52" s="133">
        <f t="shared" si="278"/>
        <v>99469.485446360617</v>
      </c>
      <c r="L52" s="133">
        <f t="shared" si="278"/>
        <v>99379.694548277956</v>
      </c>
      <c r="M52" s="133">
        <f t="shared" si="278"/>
        <v>97596.375778061512</v>
      </c>
      <c r="N52" s="133">
        <f t="shared" si="278"/>
        <v>95813.057007845069</v>
      </c>
      <c r="O52" s="133">
        <f t="shared" si="278"/>
        <v>94029.738237628626</v>
      </c>
      <c r="P52" s="133">
        <f t="shared" si="278"/>
        <v>92246.419467412183</v>
      </c>
      <c r="Q52" s="133">
        <f t="shared" si="278"/>
        <v>90463.100697195739</v>
      </c>
      <c r="R52" s="133">
        <f t="shared" si="278"/>
        <v>89879.130687081037</v>
      </c>
      <c r="S52" s="133">
        <f t="shared" si="278"/>
        <v>89295.160676966319</v>
      </c>
      <c r="T52" s="133">
        <f t="shared" si="278"/>
        <v>88711.190666851602</v>
      </c>
      <c r="U52" s="133">
        <f t="shared" si="278"/>
        <v>88127.220656736899</v>
      </c>
      <c r="V52" s="133">
        <f t="shared" si="278"/>
        <v>87543.250646622197</v>
      </c>
      <c r="W52" s="133">
        <f t="shared" si="278"/>
        <v>87195.147936750611</v>
      </c>
      <c r="X52" s="133">
        <f t="shared" si="278"/>
        <v>86847.045226879025</v>
      </c>
      <c r="Y52" s="133">
        <f t="shared" si="278"/>
        <v>86498.942517007439</v>
      </c>
      <c r="Z52" s="133">
        <f t="shared" si="278"/>
        <v>86150.839807135839</v>
      </c>
      <c r="AA52" s="133">
        <f t="shared" si="278"/>
        <v>85802.737097264224</v>
      </c>
      <c r="AB52" s="133">
        <f t="shared" si="278"/>
        <v>85299.379381966617</v>
      </c>
      <c r="AC52" s="133">
        <f t="shared" si="278"/>
        <v>84796.02166666901</v>
      </c>
      <c r="AD52" s="133">
        <f t="shared" si="278"/>
        <v>84292.663951371404</v>
      </c>
      <c r="AE52" s="133">
        <f t="shared" si="278"/>
        <v>83789.306236073782</v>
      </c>
      <c r="AF52" s="133">
        <f t="shared" si="278"/>
        <v>83285.94852077619</v>
      </c>
      <c r="AG52" s="161">
        <f t="shared" si="282"/>
        <v>0.39082612967965707</v>
      </c>
      <c r="AH52" s="161">
        <f t="shared" si="283"/>
        <v>0.41135957313612947</v>
      </c>
      <c r="AI52" s="161">
        <f t="shared" si="284"/>
        <v>0.43138915159103863</v>
      </c>
      <c r="AJ52" s="161">
        <f t="shared" si="285"/>
        <v>0.45093318657537268</v>
      </c>
      <c r="AK52" s="161">
        <f t="shared" si="286"/>
        <v>0.47000912198139916</v>
      </c>
      <c r="AL52" s="128">
        <v>0.48863357599164592</v>
      </c>
      <c r="AM52" s="128">
        <v>0.49254797385357885</v>
      </c>
      <c r="AN52" s="128">
        <v>0.49661889406445581</v>
      </c>
      <c r="AO52" s="128">
        <v>0.5008559162799493</v>
      </c>
      <c r="AP52" s="128">
        <v>0.50526941817589099</v>
      </c>
      <c r="AQ52" s="128">
        <v>0.50987066031313821</v>
      </c>
      <c r="AR52" s="128">
        <v>0.50987066031313821</v>
      </c>
      <c r="AS52" s="128">
        <v>0.50987066031313821</v>
      </c>
      <c r="AT52" s="128">
        <v>0.50987066031313821</v>
      </c>
      <c r="AU52" s="128">
        <v>0.50987066031313821</v>
      </c>
      <c r="AV52" s="128">
        <v>0.50987066031313821</v>
      </c>
      <c r="AW52" s="128">
        <v>0.50987066031313821</v>
      </c>
      <c r="AX52" s="128">
        <v>0.50987066031313821</v>
      </c>
      <c r="AY52" s="128">
        <v>0.50987066031313821</v>
      </c>
      <c r="AZ52" s="128">
        <v>0.50987066031313821</v>
      </c>
      <c r="BA52" s="128">
        <v>0.50987066031313821</v>
      </c>
      <c r="BB52" s="128">
        <v>0.50987066031313821</v>
      </c>
      <c r="BC52" s="128">
        <v>0.50987066031313821</v>
      </c>
      <c r="BD52" s="128">
        <v>0.50987066031313821</v>
      </c>
      <c r="BE52" s="128">
        <v>0.50987066031313821</v>
      </c>
      <c r="BF52" s="130">
        <v>0.50987066031313821</v>
      </c>
      <c r="BG52" s="130">
        <v>0.50987066031313821</v>
      </c>
      <c r="BH52" s="130">
        <v>0.50987066031313821</v>
      </c>
      <c r="BI52" s="130">
        <v>0.50987066031313821</v>
      </c>
      <c r="BJ52" s="130">
        <v>0.50987066031313821</v>
      </c>
      <c r="BK52" s="130">
        <v>0.50987066031313821</v>
      </c>
    </row>
    <row r="53" spans="1:63" x14ac:dyDescent="0.35">
      <c r="A53" s="131" t="s">
        <v>9</v>
      </c>
      <c r="B53" s="132">
        <f>'Initial demand info'!F34</f>
        <v>77807.363270000002</v>
      </c>
      <c r="C53" s="128">
        <f t="shared" ref="C53:F53" si="288">B53+($G53-$B53)/5</f>
        <v>74618.838010024381</v>
      </c>
      <c r="D53" s="128">
        <f t="shared" si="288"/>
        <v>71430.312750048761</v>
      </c>
      <c r="E53" s="128">
        <f t="shared" si="288"/>
        <v>68241.78749007314</v>
      </c>
      <c r="F53" s="128">
        <f t="shared" si="288"/>
        <v>65053.26223009752</v>
      </c>
      <c r="G53" s="133">
        <f t="shared" si="281"/>
        <v>61864.7369701219</v>
      </c>
      <c r="H53" s="133">
        <f t="shared" si="278"/>
        <v>58908.521534965257</v>
      </c>
      <c r="I53" s="133">
        <f t="shared" si="278"/>
        <v>55904.18954905992</v>
      </c>
      <c r="J53" s="133">
        <f t="shared" si="278"/>
        <v>52848.796129509428</v>
      </c>
      <c r="K53" s="133">
        <f t="shared" si="278"/>
        <v>49739.1510739613</v>
      </c>
      <c r="L53" s="133">
        <f t="shared" si="278"/>
        <v>46571.792772290464</v>
      </c>
      <c r="M53" s="133">
        <f t="shared" si="278"/>
        <v>45736.085311214403</v>
      </c>
      <c r="N53" s="133">
        <f t="shared" si="278"/>
        <v>44900.377850138342</v>
      </c>
      <c r="O53" s="133">
        <f t="shared" si="278"/>
        <v>44064.670389062281</v>
      </c>
      <c r="P53" s="133">
        <f t="shared" si="278"/>
        <v>43228.96292798622</v>
      </c>
      <c r="Q53" s="133">
        <f t="shared" si="278"/>
        <v>42393.255466910152</v>
      </c>
      <c r="R53" s="133">
        <f t="shared" si="278"/>
        <v>42119.592618378425</v>
      </c>
      <c r="S53" s="133">
        <f t="shared" si="278"/>
        <v>41845.929769846698</v>
      </c>
      <c r="T53" s="133">
        <f t="shared" si="278"/>
        <v>41572.266921314971</v>
      </c>
      <c r="U53" s="133">
        <f t="shared" si="278"/>
        <v>41298.604072783244</v>
      </c>
      <c r="V53" s="133">
        <f t="shared" si="278"/>
        <v>41024.941224251525</v>
      </c>
      <c r="W53" s="133">
        <f t="shared" si="278"/>
        <v>40861.811649932526</v>
      </c>
      <c r="X53" s="133">
        <f t="shared" si="278"/>
        <v>40698.682075613535</v>
      </c>
      <c r="Y53" s="133">
        <f t="shared" si="278"/>
        <v>40535.552501294536</v>
      </c>
      <c r="Z53" s="133">
        <f t="shared" si="278"/>
        <v>40372.422926975545</v>
      </c>
      <c r="AA53" s="133">
        <f t="shared" si="278"/>
        <v>40209.293352656532</v>
      </c>
      <c r="AB53" s="133">
        <f t="shared" si="278"/>
        <v>39973.407427330152</v>
      </c>
      <c r="AC53" s="133">
        <f t="shared" si="278"/>
        <v>39737.521502003765</v>
      </c>
      <c r="AD53" s="133">
        <f t="shared" si="278"/>
        <v>39501.635576677385</v>
      </c>
      <c r="AE53" s="133">
        <f t="shared" si="278"/>
        <v>39265.749651350998</v>
      </c>
      <c r="AF53" s="133">
        <f t="shared" si="278"/>
        <v>39029.863726024625</v>
      </c>
      <c r="AG53" s="161">
        <f t="shared" si="282"/>
        <v>0.40405862696035705</v>
      </c>
      <c r="AH53" s="161">
        <f t="shared" si="283"/>
        <v>0.38268696532146729</v>
      </c>
      <c r="AI53" s="161">
        <f t="shared" si="284"/>
        <v>0.36183973750917436</v>
      </c>
      <c r="AJ53" s="161">
        <f t="shared" si="285"/>
        <v>0.34149787406920901</v>
      </c>
      <c r="AK53" s="161">
        <f t="shared" si="286"/>
        <v>0.32164321901307391</v>
      </c>
      <c r="AL53" s="133">
        <v>0.30225847576921278</v>
      </c>
      <c r="AM53" s="133">
        <v>0.29058731962690665</v>
      </c>
      <c r="AN53" s="133">
        <v>0.27844947694973105</v>
      </c>
      <c r="AO53" s="133">
        <v>0.26581638506697991</v>
      </c>
      <c r="AP53" s="133">
        <v>0.25265710193359292</v>
      </c>
      <c r="AQ53" s="133">
        <v>0.23893805309734514</v>
      </c>
      <c r="AR53" s="133">
        <v>0.23893805309734514</v>
      </c>
      <c r="AS53" s="133">
        <v>0.23893805309734514</v>
      </c>
      <c r="AT53" s="133">
        <v>0.23893805309734514</v>
      </c>
      <c r="AU53" s="133">
        <v>0.23893805309734514</v>
      </c>
      <c r="AV53" s="133">
        <v>0.23893805309734514</v>
      </c>
      <c r="AW53" s="133">
        <v>0.23893805309734514</v>
      </c>
      <c r="AX53" s="133">
        <v>0.23893805309734514</v>
      </c>
      <c r="AY53" s="133">
        <v>0.23893805309734514</v>
      </c>
      <c r="AZ53" s="133">
        <v>0.23893805309734514</v>
      </c>
      <c r="BA53" s="133">
        <v>0.23893805309734514</v>
      </c>
      <c r="BB53" s="133">
        <v>0.23893805309734514</v>
      </c>
      <c r="BC53" s="133">
        <v>0.23893805309734514</v>
      </c>
      <c r="BD53" s="133">
        <v>0.23893805309734514</v>
      </c>
      <c r="BE53" s="133">
        <v>0.23893805309734514</v>
      </c>
      <c r="BF53" s="135">
        <v>0.23893805309734514</v>
      </c>
      <c r="BG53" s="135">
        <v>0.23893805309734514</v>
      </c>
      <c r="BH53" s="135">
        <v>0.23893805309734514</v>
      </c>
      <c r="BI53" s="135">
        <v>0.23893805309734514</v>
      </c>
      <c r="BJ53" s="135">
        <v>0.23893805309734514</v>
      </c>
      <c r="BK53" s="135">
        <v>0.23893805309734514</v>
      </c>
    </row>
    <row r="54" spans="1:63" x14ac:dyDescent="0.35">
      <c r="A54" s="136" t="s">
        <v>10</v>
      </c>
      <c r="B54" s="127">
        <f>'Initial demand info'!F35</f>
        <v>5974.9125000000004</v>
      </c>
      <c r="C54" s="128">
        <f t="shared" ref="C54" si="289">B54+($G54-$B54)/5</f>
        <v>9905.032509597615</v>
      </c>
      <c r="D54" s="128">
        <f t="shared" ref="D54:F54" si="290">C54+($G54-$B54)/5</f>
        <v>13835.152519195228</v>
      </c>
      <c r="E54" s="128">
        <f t="shared" si="290"/>
        <v>17765.272528792841</v>
      </c>
      <c r="F54" s="128">
        <f t="shared" si="290"/>
        <v>21695.392538390453</v>
      </c>
      <c r="G54" s="133">
        <f t="shared" si="281"/>
        <v>25625.51254798807</v>
      </c>
      <c r="H54" s="133">
        <f t="shared" si="278"/>
        <v>25306.75482944242</v>
      </c>
      <c r="I54" s="133">
        <f t="shared" si="278"/>
        <v>24986.486485454549</v>
      </c>
      <c r="J54" s="133">
        <f t="shared" si="278"/>
        <v>24664.615061038421</v>
      </c>
      <c r="K54" s="133">
        <f t="shared" si="278"/>
        <v>24341.040399371395</v>
      </c>
      <c r="L54" s="133">
        <f t="shared" si="278"/>
        <v>24015.653822748074</v>
      </c>
      <c r="M54" s="133">
        <f t="shared" si="278"/>
        <v>23584.70496105358</v>
      </c>
      <c r="N54" s="133">
        <f t="shared" si="278"/>
        <v>23153.756099359085</v>
      </c>
      <c r="O54" s="133">
        <f t="shared" si="278"/>
        <v>22722.807237664594</v>
      </c>
      <c r="P54" s="133">
        <f t="shared" si="278"/>
        <v>22291.8583759701</v>
      </c>
      <c r="Q54" s="133">
        <f t="shared" si="278"/>
        <v>21860.909514275605</v>
      </c>
      <c r="R54" s="133">
        <f t="shared" si="278"/>
        <v>21719.789925716508</v>
      </c>
      <c r="S54" s="133">
        <f t="shared" si="278"/>
        <v>21578.670337157415</v>
      </c>
      <c r="T54" s="133">
        <f t="shared" si="278"/>
        <v>21437.550748598318</v>
      </c>
      <c r="U54" s="133">
        <f t="shared" si="278"/>
        <v>21296.431160039221</v>
      </c>
      <c r="V54" s="133">
        <f t="shared" si="278"/>
        <v>21155.311571480128</v>
      </c>
      <c r="W54" s="133">
        <f t="shared" si="278"/>
        <v>21071.190622899678</v>
      </c>
      <c r="X54" s="133">
        <f t="shared" si="278"/>
        <v>20987.069674319227</v>
      </c>
      <c r="Y54" s="133">
        <f t="shared" si="278"/>
        <v>20902.948725738777</v>
      </c>
      <c r="Z54" s="133">
        <f t="shared" si="278"/>
        <v>20818.827777158327</v>
      </c>
      <c r="AA54" s="133">
        <f t="shared" si="278"/>
        <v>20734.70682857787</v>
      </c>
      <c r="AB54" s="133">
        <f t="shared" si="278"/>
        <v>20613.067647711556</v>
      </c>
      <c r="AC54" s="133">
        <f t="shared" si="278"/>
        <v>20491.428466845246</v>
      </c>
      <c r="AD54" s="133">
        <f t="shared" si="278"/>
        <v>20369.789285978935</v>
      </c>
      <c r="AE54" s="133">
        <f t="shared" si="278"/>
        <v>20248.150105112622</v>
      </c>
      <c r="AF54" s="133">
        <f t="shared" si="278"/>
        <v>20126.510924246315</v>
      </c>
      <c r="AG54" s="161">
        <f t="shared" si="282"/>
        <v>3.1028103761602695E-2</v>
      </c>
      <c r="AH54" s="161">
        <f t="shared" si="283"/>
        <v>5.0798523986652876E-2</v>
      </c>
      <c r="AI54" s="161">
        <f t="shared" si="284"/>
        <v>7.0083802845194415E-2</v>
      </c>
      <c r="AJ54" s="161">
        <f t="shared" si="285"/>
        <v>8.8901581039702249E-2</v>
      </c>
      <c r="AK54" s="161">
        <f t="shared" si="286"/>
        <v>0.10726865424700575</v>
      </c>
      <c r="AL54" s="128">
        <v>0.12520102311758763</v>
      </c>
      <c r="AM54" s="128">
        <v>0.12483460563473953</v>
      </c>
      <c r="AN54" s="128">
        <v>0.12445353646671978</v>
      </c>
      <c r="AO54" s="128">
        <v>0.12405691888472314</v>
      </c>
      <c r="AP54" s="128">
        <v>0.12364378145917342</v>
      </c>
      <c r="AQ54" s="128">
        <v>0.12321307011572498</v>
      </c>
      <c r="AR54" s="128">
        <v>0.12321307011572498</v>
      </c>
      <c r="AS54" s="128">
        <v>0.12321307011572498</v>
      </c>
      <c r="AT54" s="128">
        <v>0.12321307011572498</v>
      </c>
      <c r="AU54" s="128">
        <v>0.12321307011572498</v>
      </c>
      <c r="AV54" s="128">
        <v>0.12321307011572498</v>
      </c>
      <c r="AW54" s="128">
        <v>0.12321307011572498</v>
      </c>
      <c r="AX54" s="128">
        <v>0.12321307011572498</v>
      </c>
      <c r="AY54" s="128">
        <v>0.12321307011572498</v>
      </c>
      <c r="AZ54" s="128">
        <v>0.12321307011572498</v>
      </c>
      <c r="BA54" s="128">
        <v>0.12321307011572498</v>
      </c>
      <c r="BB54" s="128">
        <v>0.12321307011572498</v>
      </c>
      <c r="BC54" s="128">
        <v>0.12321307011572498</v>
      </c>
      <c r="BD54" s="128">
        <v>0.12321307011572498</v>
      </c>
      <c r="BE54" s="128">
        <v>0.12321307011572498</v>
      </c>
      <c r="BF54" s="130">
        <v>0.12321307011572498</v>
      </c>
      <c r="BG54" s="130">
        <v>0.12321307011572498</v>
      </c>
      <c r="BH54" s="130">
        <v>0.12321307011572498</v>
      </c>
      <c r="BI54" s="130">
        <v>0.12321307011572498</v>
      </c>
      <c r="BJ54" s="130">
        <v>0.12321307011572498</v>
      </c>
      <c r="BK54" s="130">
        <v>0.12321307011572498</v>
      </c>
    </row>
    <row r="55" spans="1:63" x14ac:dyDescent="0.35">
      <c r="A55" s="131"/>
      <c r="B55" s="132"/>
      <c r="C55" s="128"/>
      <c r="D55" s="128"/>
      <c r="E55" s="128"/>
      <c r="F55" s="128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5"/>
      <c r="BG55" s="135"/>
      <c r="BH55" s="135"/>
      <c r="BI55" s="135"/>
      <c r="BJ55" s="135"/>
      <c r="BK55" s="135"/>
    </row>
    <row r="56" spans="1:63" x14ac:dyDescent="0.35">
      <c r="A56" s="126" t="s">
        <v>53</v>
      </c>
      <c r="B56" s="128">
        <v>342052.6</v>
      </c>
      <c r="C56" s="128">
        <f t="shared" ref="C56:F56" si="291">B56+($G56-$B56)/5</f>
        <v>342052.6</v>
      </c>
      <c r="D56" s="128">
        <f t="shared" si="291"/>
        <v>342052.6</v>
      </c>
      <c r="E56" s="128">
        <f t="shared" si="291"/>
        <v>342052.6</v>
      </c>
      <c r="F56" s="128">
        <f t="shared" si="291"/>
        <v>342052.6</v>
      </c>
      <c r="G56" s="159">
        <f>'Initial demand info'!K37</f>
        <v>342052.6</v>
      </c>
      <c r="H56" s="128">
        <f>G56+($L56-$G56)/5</f>
        <v>342052.6</v>
      </c>
      <c r="I56" s="128">
        <f t="shared" ref="I56:K56" si="292">H56+($L56-$G56)/5</f>
        <v>342052.6</v>
      </c>
      <c r="J56" s="128">
        <f t="shared" si="292"/>
        <v>342052.6</v>
      </c>
      <c r="K56" s="128">
        <f t="shared" si="292"/>
        <v>342052.6</v>
      </c>
      <c r="L56" s="127">
        <f>'Initial demand info'!L37</f>
        <v>342052.6</v>
      </c>
      <c r="M56" s="128">
        <f>L56+($Q56-$L56)/5</f>
        <v>342052.59999999992</v>
      </c>
      <c r="N56" s="128">
        <f t="shared" ref="N56:P56" si="293">M56+($Q56-$L56)/5</f>
        <v>342052.59999999986</v>
      </c>
      <c r="O56" s="128">
        <f t="shared" si="293"/>
        <v>342052.5999999998</v>
      </c>
      <c r="P56" s="128">
        <f t="shared" si="293"/>
        <v>342052.59999999974</v>
      </c>
      <c r="Q56" s="128">
        <v>342052.59999999974</v>
      </c>
      <c r="R56" s="128">
        <f>Q56+($V56-$Q56)/5</f>
        <v>342052.59999999974</v>
      </c>
      <c r="S56" s="128">
        <f t="shared" ref="S56:U56" si="294">R56+($V56-$Q56)/5</f>
        <v>342052.59999999974</v>
      </c>
      <c r="T56" s="128">
        <f t="shared" si="294"/>
        <v>342052.59999999974</v>
      </c>
      <c r="U56" s="128">
        <f t="shared" si="294"/>
        <v>342052.59999999974</v>
      </c>
      <c r="V56" s="128">
        <v>342052.59999999974</v>
      </c>
      <c r="W56" s="128">
        <f>V56+($AA56-$V56)/5</f>
        <v>342052.59999999974</v>
      </c>
      <c r="X56" s="128">
        <f t="shared" ref="X56:Z56" si="295">W56+($AA56-$V56)/5</f>
        <v>342052.59999999974</v>
      </c>
      <c r="Y56" s="128">
        <f t="shared" si="295"/>
        <v>342052.59999999974</v>
      </c>
      <c r="Z56" s="128">
        <f t="shared" si="295"/>
        <v>342052.59999999974</v>
      </c>
      <c r="AA56" s="128">
        <v>342052.59999999974</v>
      </c>
      <c r="AB56" s="128">
        <f>AA56+($AF56-$AA56)/5</f>
        <v>342052.59999999974</v>
      </c>
      <c r="AC56" s="128">
        <f t="shared" ref="AC56:AE56" si="296">AB56+($AF56-$AA56)/5</f>
        <v>342052.59999999974</v>
      </c>
      <c r="AD56" s="128">
        <f t="shared" si="296"/>
        <v>342052.59999999974</v>
      </c>
      <c r="AE56" s="128">
        <f t="shared" si="296"/>
        <v>342052.59999999974</v>
      </c>
      <c r="AF56" s="128">
        <v>342052.59999999974</v>
      </c>
      <c r="AG56" s="128">
        <f>SUM(AG57:AG61)</f>
        <v>1</v>
      </c>
      <c r="AH56" s="128">
        <f t="shared" ref="AH56:BF56" si="297">SUM(AH57:AH61)</f>
        <v>1</v>
      </c>
      <c r="AI56" s="128">
        <f t="shared" si="297"/>
        <v>1</v>
      </c>
      <c r="AJ56" s="128">
        <f t="shared" si="297"/>
        <v>1</v>
      </c>
      <c r="AK56" s="128">
        <f t="shared" si="297"/>
        <v>1</v>
      </c>
      <c r="AL56" s="128">
        <f t="shared" si="297"/>
        <v>1</v>
      </c>
      <c r="AM56" s="128">
        <f t="shared" si="297"/>
        <v>1</v>
      </c>
      <c r="AN56" s="128">
        <f t="shared" si="297"/>
        <v>1</v>
      </c>
      <c r="AO56" s="128">
        <f t="shared" si="297"/>
        <v>1</v>
      </c>
      <c r="AP56" s="128">
        <f t="shared" si="297"/>
        <v>1</v>
      </c>
      <c r="AQ56" s="128">
        <f t="shared" si="297"/>
        <v>1</v>
      </c>
      <c r="AR56" s="128">
        <f t="shared" si="297"/>
        <v>1</v>
      </c>
      <c r="AS56" s="128">
        <f t="shared" si="297"/>
        <v>1</v>
      </c>
      <c r="AT56" s="128">
        <f t="shared" si="297"/>
        <v>1</v>
      </c>
      <c r="AU56" s="128">
        <f t="shared" si="297"/>
        <v>1</v>
      </c>
      <c r="AV56" s="128">
        <f t="shared" si="297"/>
        <v>1</v>
      </c>
      <c r="AW56" s="128">
        <f t="shared" si="297"/>
        <v>1</v>
      </c>
      <c r="AX56" s="128">
        <f t="shared" si="297"/>
        <v>1</v>
      </c>
      <c r="AY56" s="128">
        <f t="shared" si="297"/>
        <v>1</v>
      </c>
      <c r="AZ56" s="128">
        <f t="shared" si="297"/>
        <v>1</v>
      </c>
      <c r="BA56" s="128">
        <f t="shared" si="297"/>
        <v>1</v>
      </c>
      <c r="BB56" s="128">
        <f t="shared" si="297"/>
        <v>1</v>
      </c>
      <c r="BC56" s="128">
        <f t="shared" si="297"/>
        <v>1</v>
      </c>
      <c r="BD56" s="128">
        <f t="shared" si="297"/>
        <v>1</v>
      </c>
      <c r="BE56" s="128">
        <f t="shared" si="297"/>
        <v>1</v>
      </c>
      <c r="BF56" s="130">
        <f t="shared" si="297"/>
        <v>1</v>
      </c>
      <c r="BG56" s="130">
        <f t="shared" ref="BG56:BK56" si="298">SUM(BG57:BG61)</f>
        <v>1</v>
      </c>
      <c r="BH56" s="130">
        <f t="shared" si="298"/>
        <v>1</v>
      </c>
      <c r="BI56" s="130">
        <f t="shared" si="298"/>
        <v>1</v>
      </c>
      <c r="BJ56" s="130">
        <f t="shared" si="298"/>
        <v>1</v>
      </c>
      <c r="BK56" s="130">
        <f t="shared" si="298"/>
        <v>1</v>
      </c>
    </row>
    <row r="57" spans="1:63" x14ac:dyDescent="0.35">
      <c r="A57" s="149" t="s">
        <v>11</v>
      </c>
      <c r="B57" s="133">
        <v>5833.7017054984371</v>
      </c>
      <c r="C57" s="128">
        <f t="shared" ref="C57:F57" si="299">B57+($G57-$B57)/5</f>
        <v>5833.7017054984371</v>
      </c>
      <c r="D57" s="128">
        <f t="shared" si="299"/>
        <v>5833.7017054984371</v>
      </c>
      <c r="E57" s="128">
        <f t="shared" si="299"/>
        <v>5833.7017054984371</v>
      </c>
      <c r="F57" s="128">
        <f t="shared" si="299"/>
        <v>5833.7017054984371</v>
      </c>
      <c r="G57" s="133">
        <f>G$56*AL57</f>
        <v>5833.7017054984371</v>
      </c>
      <c r="H57" s="133">
        <f t="shared" ref="H57:AF61" si="300">H$56*AM57</f>
        <v>5833.7017054984371</v>
      </c>
      <c r="I57" s="133">
        <f t="shared" si="300"/>
        <v>5833.7017054984371</v>
      </c>
      <c r="J57" s="133">
        <f t="shared" si="300"/>
        <v>5833.7017054984371</v>
      </c>
      <c r="K57" s="133">
        <f t="shared" si="300"/>
        <v>5833.7017054984371</v>
      </c>
      <c r="L57" s="133">
        <f t="shared" si="300"/>
        <v>5833.7017054984371</v>
      </c>
      <c r="M57" s="133">
        <f t="shared" si="300"/>
        <v>5833.7017054984353</v>
      </c>
      <c r="N57" s="133">
        <f t="shared" si="300"/>
        <v>5833.7017054984344</v>
      </c>
      <c r="O57" s="133">
        <f t="shared" si="300"/>
        <v>5833.7017054984335</v>
      </c>
      <c r="P57" s="133">
        <f t="shared" si="300"/>
        <v>5833.7017054984326</v>
      </c>
      <c r="Q57" s="133">
        <f t="shared" si="300"/>
        <v>5833.7017054984326</v>
      </c>
      <c r="R57" s="133">
        <f t="shared" si="300"/>
        <v>5833.7017054984326</v>
      </c>
      <c r="S57" s="133">
        <f t="shared" si="300"/>
        <v>5833.7017054984326</v>
      </c>
      <c r="T57" s="133">
        <f t="shared" si="300"/>
        <v>5833.7017054984326</v>
      </c>
      <c r="U57" s="133">
        <f t="shared" si="300"/>
        <v>5833.7017054984326</v>
      </c>
      <c r="V57" s="133">
        <f t="shared" si="300"/>
        <v>5833.7017054984326</v>
      </c>
      <c r="W57" s="133">
        <f t="shared" si="300"/>
        <v>5833.7017054984326</v>
      </c>
      <c r="X57" s="133">
        <f t="shared" si="300"/>
        <v>5833.7017054984326</v>
      </c>
      <c r="Y57" s="133">
        <f t="shared" si="300"/>
        <v>5833.7017054984326</v>
      </c>
      <c r="Z57" s="133">
        <f t="shared" si="300"/>
        <v>5833.7017054984326</v>
      </c>
      <c r="AA57" s="133">
        <f t="shared" si="300"/>
        <v>5833.7017054984326</v>
      </c>
      <c r="AB57" s="133">
        <f t="shared" si="300"/>
        <v>5833.7017054984326</v>
      </c>
      <c r="AC57" s="133">
        <f t="shared" si="300"/>
        <v>5833.7017054984326</v>
      </c>
      <c r="AD57" s="133">
        <f t="shared" si="300"/>
        <v>5833.7017054984326</v>
      </c>
      <c r="AE57" s="133">
        <f t="shared" si="300"/>
        <v>5833.7017054984326</v>
      </c>
      <c r="AF57" s="133">
        <f t="shared" si="300"/>
        <v>5833.7017054984326</v>
      </c>
      <c r="AG57" s="161">
        <f>B57/B$56</f>
        <v>1.70549842494939E-2</v>
      </c>
      <c r="AH57" s="161">
        <f t="shared" ref="AH57:AK57" si="301">C57/C$56</f>
        <v>1.70549842494939E-2</v>
      </c>
      <c r="AI57" s="161">
        <f t="shared" si="301"/>
        <v>1.70549842494939E-2</v>
      </c>
      <c r="AJ57" s="161">
        <f t="shared" si="301"/>
        <v>1.70549842494939E-2</v>
      </c>
      <c r="AK57" s="161">
        <f t="shared" si="301"/>
        <v>1.70549842494939E-2</v>
      </c>
      <c r="AL57" s="133">
        <v>1.70549842494939E-2</v>
      </c>
      <c r="AM57" s="133">
        <v>1.70549842494939E-2</v>
      </c>
      <c r="AN57" s="133">
        <v>1.70549842494939E-2</v>
      </c>
      <c r="AO57" s="133">
        <v>1.70549842494939E-2</v>
      </c>
      <c r="AP57" s="133">
        <v>1.70549842494939E-2</v>
      </c>
      <c r="AQ57" s="133">
        <v>1.70549842494939E-2</v>
      </c>
      <c r="AR57" s="133">
        <v>1.70549842494939E-2</v>
      </c>
      <c r="AS57" s="133">
        <v>1.70549842494939E-2</v>
      </c>
      <c r="AT57" s="133">
        <v>1.70549842494939E-2</v>
      </c>
      <c r="AU57" s="133">
        <v>1.70549842494939E-2</v>
      </c>
      <c r="AV57" s="133">
        <v>1.70549842494939E-2</v>
      </c>
      <c r="AW57" s="133">
        <v>1.70549842494939E-2</v>
      </c>
      <c r="AX57" s="133">
        <v>1.70549842494939E-2</v>
      </c>
      <c r="AY57" s="133">
        <v>1.70549842494939E-2</v>
      </c>
      <c r="AZ57" s="133">
        <v>1.70549842494939E-2</v>
      </c>
      <c r="BA57" s="133">
        <v>1.70549842494939E-2</v>
      </c>
      <c r="BB57" s="133">
        <v>1.70549842494939E-2</v>
      </c>
      <c r="BC57" s="133">
        <v>1.70549842494939E-2</v>
      </c>
      <c r="BD57" s="133">
        <v>1.70549842494939E-2</v>
      </c>
      <c r="BE57" s="133">
        <v>1.70549842494939E-2</v>
      </c>
      <c r="BF57" s="135">
        <v>1.70549842494939E-2</v>
      </c>
      <c r="BG57" s="135">
        <v>1.70549842494939E-2</v>
      </c>
      <c r="BH57" s="135">
        <v>1.70549842494939E-2</v>
      </c>
      <c r="BI57" s="135">
        <v>1.70549842494939E-2</v>
      </c>
      <c r="BJ57" s="135">
        <v>1.70549842494939E-2</v>
      </c>
      <c r="BK57" s="135">
        <v>1.70549842494939E-2</v>
      </c>
    </row>
    <row r="58" spans="1:63" x14ac:dyDescent="0.35">
      <c r="A58" s="150" t="s">
        <v>13</v>
      </c>
      <c r="B58" s="128">
        <v>3336.5009754350572</v>
      </c>
      <c r="C58" s="128">
        <f t="shared" ref="C58:F58" si="302">B58+($G58-$B58)/5</f>
        <v>3336.5009754350572</v>
      </c>
      <c r="D58" s="128">
        <f t="shared" si="302"/>
        <v>3336.5009754350572</v>
      </c>
      <c r="E58" s="128">
        <f t="shared" si="302"/>
        <v>3336.5009754350572</v>
      </c>
      <c r="F58" s="128">
        <f t="shared" si="302"/>
        <v>3336.5009754350572</v>
      </c>
      <c r="G58" s="133">
        <f t="shared" ref="G58:G61" si="303">G$56*AL58</f>
        <v>3336.5009754350572</v>
      </c>
      <c r="H58" s="133">
        <f t="shared" si="300"/>
        <v>3336.5009754350572</v>
      </c>
      <c r="I58" s="133">
        <f t="shared" si="300"/>
        <v>3336.5009754350572</v>
      </c>
      <c r="J58" s="133">
        <f t="shared" si="300"/>
        <v>3336.5009754350572</v>
      </c>
      <c r="K58" s="133">
        <f t="shared" si="300"/>
        <v>3336.5009754350572</v>
      </c>
      <c r="L58" s="133">
        <f t="shared" si="300"/>
        <v>3336.5009754350572</v>
      </c>
      <c r="M58" s="133">
        <f t="shared" si="300"/>
        <v>3336.5009754350567</v>
      </c>
      <c r="N58" s="133">
        <f t="shared" si="300"/>
        <v>3336.5009754350563</v>
      </c>
      <c r="O58" s="133">
        <f t="shared" si="300"/>
        <v>3336.5009754350554</v>
      </c>
      <c r="P58" s="133">
        <f t="shared" si="300"/>
        <v>3336.5009754350549</v>
      </c>
      <c r="Q58" s="133">
        <f t="shared" si="300"/>
        <v>3336.5009754350549</v>
      </c>
      <c r="R58" s="133">
        <f t="shared" si="300"/>
        <v>3336.5009754350549</v>
      </c>
      <c r="S58" s="133">
        <f t="shared" si="300"/>
        <v>3336.5009754350549</v>
      </c>
      <c r="T58" s="133">
        <f t="shared" si="300"/>
        <v>3336.5009754350549</v>
      </c>
      <c r="U58" s="133">
        <f t="shared" si="300"/>
        <v>3336.5009754350549</v>
      </c>
      <c r="V58" s="133">
        <f t="shared" si="300"/>
        <v>3336.5009754350549</v>
      </c>
      <c r="W58" s="133">
        <f t="shared" si="300"/>
        <v>3336.5009754350549</v>
      </c>
      <c r="X58" s="133">
        <f t="shared" si="300"/>
        <v>3336.5009754350549</v>
      </c>
      <c r="Y58" s="133">
        <f t="shared" si="300"/>
        <v>3336.5009754350549</v>
      </c>
      <c r="Z58" s="133">
        <f t="shared" si="300"/>
        <v>3336.5009754350549</v>
      </c>
      <c r="AA58" s="133">
        <f t="shared" si="300"/>
        <v>3336.5009754350549</v>
      </c>
      <c r="AB58" s="133">
        <f t="shared" si="300"/>
        <v>3336.5009754350549</v>
      </c>
      <c r="AC58" s="133">
        <f t="shared" si="300"/>
        <v>3336.5009754350549</v>
      </c>
      <c r="AD58" s="133">
        <f t="shared" si="300"/>
        <v>3336.5009754350549</v>
      </c>
      <c r="AE58" s="133">
        <f t="shared" si="300"/>
        <v>3336.5009754350549</v>
      </c>
      <c r="AF58" s="133">
        <f t="shared" si="300"/>
        <v>3336.5009754350549</v>
      </c>
      <c r="AG58" s="161">
        <f t="shared" ref="AG58:AG61" si="304">B58/B$56</f>
        <v>9.7543505748386578E-3</v>
      </c>
      <c r="AH58" s="161">
        <f t="shared" ref="AH58:AH61" si="305">C58/C$56</f>
        <v>9.7543505748386578E-3</v>
      </c>
      <c r="AI58" s="161">
        <f t="shared" ref="AI58:AI61" si="306">D58/D$56</f>
        <v>9.7543505748386578E-3</v>
      </c>
      <c r="AJ58" s="161">
        <f t="shared" ref="AJ58:AJ61" si="307">E58/E$56</f>
        <v>9.7543505748386578E-3</v>
      </c>
      <c r="AK58" s="161">
        <f t="shared" ref="AK58:AK61" si="308">F58/F$56</f>
        <v>9.7543505748386578E-3</v>
      </c>
      <c r="AL58" s="128">
        <v>9.7543505748386578E-3</v>
      </c>
      <c r="AM58" s="128">
        <v>9.7543505748386578E-3</v>
      </c>
      <c r="AN58" s="128">
        <v>9.7543505748386578E-3</v>
      </c>
      <c r="AO58" s="128">
        <v>9.7543505748386578E-3</v>
      </c>
      <c r="AP58" s="128">
        <v>9.7543505748386578E-3</v>
      </c>
      <c r="AQ58" s="128">
        <v>9.7543505748386578E-3</v>
      </c>
      <c r="AR58" s="128">
        <v>9.7543505748386578E-3</v>
      </c>
      <c r="AS58" s="128">
        <v>9.7543505748386578E-3</v>
      </c>
      <c r="AT58" s="128">
        <v>9.7543505748386578E-3</v>
      </c>
      <c r="AU58" s="128">
        <v>9.7543505748386578E-3</v>
      </c>
      <c r="AV58" s="128">
        <v>9.7543505748386578E-3</v>
      </c>
      <c r="AW58" s="128">
        <v>9.7543505748386578E-3</v>
      </c>
      <c r="AX58" s="128">
        <v>9.7543505748386578E-3</v>
      </c>
      <c r="AY58" s="128">
        <v>9.7543505748386578E-3</v>
      </c>
      <c r="AZ58" s="128">
        <v>9.7543505748386578E-3</v>
      </c>
      <c r="BA58" s="128">
        <v>9.7543505748386578E-3</v>
      </c>
      <c r="BB58" s="128">
        <v>9.7543505748386578E-3</v>
      </c>
      <c r="BC58" s="128">
        <v>9.7543505748386578E-3</v>
      </c>
      <c r="BD58" s="128">
        <v>9.7543505748386578E-3</v>
      </c>
      <c r="BE58" s="128">
        <v>9.7543505748386578E-3</v>
      </c>
      <c r="BF58" s="130">
        <v>9.7543505748386578E-3</v>
      </c>
      <c r="BG58" s="130">
        <v>9.7543505748386578E-3</v>
      </c>
      <c r="BH58" s="130">
        <v>9.7543505748386578E-3</v>
      </c>
      <c r="BI58" s="130">
        <v>9.7543505748386578E-3</v>
      </c>
      <c r="BJ58" s="130">
        <v>9.7543505748386578E-3</v>
      </c>
      <c r="BK58" s="130">
        <v>9.7543505748386578E-3</v>
      </c>
    </row>
    <row r="59" spans="1:63" x14ac:dyDescent="0.35">
      <c r="A59" s="149" t="s">
        <v>10</v>
      </c>
      <c r="B59" s="133">
        <v>327449.39573071379</v>
      </c>
      <c r="C59" s="128">
        <f t="shared" ref="C59:F59" si="309">B59+($G59-$B59)/5</f>
        <v>327449.39573071379</v>
      </c>
      <c r="D59" s="128">
        <f t="shared" si="309"/>
        <v>327449.39573071379</v>
      </c>
      <c r="E59" s="128">
        <f t="shared" si="309"/>
        <v>327449.39573071379</v>
      </c>
      <c r="F59" s="128">
        <f t="shared" si="309"/>
        <v>327449.39573071379</v>
      </c>
      <c r="G59" s="133">
        <f t="shared" si="303"/>
        <v>327449.39573071379</v>
      </c>
      <c r="H59" s="133">
        <f t="shared" si="300"/>
        <v>327449.39573071379</v>
      </c>
      <c r="I59" s="133">
        <f t="shared" si="300"/>
        <v>327449.39573071379</v>
      </c>
      <c r="J59" s="133">
        <f t="shared" si="300"/>
        <v>327449.39573071379</v>
      </c>
      <c r="K59" s="133">
        <f t="shared" si="300"/>
        <v>327449.39573071379</v>
      </c>
      <c r="L59" s="133">
        <f t="shared" si="300"/>
        <v>327449.39573071379</v>
      </c>
      <c r="M59" s="133">
        <f t="shared" si="300"/>
        <v>327449.39573071373</v>
      </c>
      <c r="N59" s="133">
        <f t="shared" si="300"/>
        <v>327449.39573071367</v>
      </c>
      <c r="O59" s="133">
        <f t="shared" si="300"/>
        <v>327449.39573071362</v>
      </c>
      <c r="P59" s="133">
        <f t="shared" si="300"/>
        <v>327449.39573071356</v>
      </c>
      <c r="Q59" s="133">
        <f t="shared" si="300"/>
        <v>327449.39573071356</v>
      </c>
      <c r="R59" s="133">
        <f t="shared" si="300"/>
        <v>327449.39573071356</v>
      </c>
      <c r="S59" s="133">
        <f t="shared" si="300"/>
        <v>327449.39573071356</v>
      </c>
      <c r="T59" s="133">
        <f t="shared" si="300"/>
        <v>327449.39573071356</v>
      </c>
      <c r="U59" s="133">
        <f t="shared" si="300"/>
        <v>327449.39573071356</v>
      </c>
      <c r="V59" s="133">
        <f t="shared" si="300"/>
        <v>327449.39573071356</v>
      </c>
      <c r="W59" s="133">
        <f t="shared" si="300"/>
        <v>327449.39573071356</v>
      </c>
      <c r="X59" s="133">
        <f t="shared" si="300"/>
        <v>327449.39573071356</v>
      </c>
      <c r="Y59" s="133">
        <f t="shared" si="300"/>
        <v>327449.39573071356</v>
      </c>
      <c r="Z59" s="133">
        <f t="shared" si="300"/>
        <v>327449.39573071356</v>
      </c>
      <c r="AA59" s="133">
        <f t="shared" si="300"/>
        <v>327449.39573071356</v>
      </c>
      <c r="AB59" s="133">
        <f t="shared" si="300"/>
        <v>327449.39573071356</v>
      </c>
      <c r="AC59" s="133">
        <f t="shared" si="300"/>
        <v>327449.39573071356</v>
      </c>
      <c r="AD59" s="133">
        <f t="shared" si="300"/>
        <v>327449.39573071356</v>
      </c>
      <c r="AE59" s="133">
        <f t="shared" si="300"/>
        <v>327449.39573071356</v>
      </c>
      <c r="AF59" s="133">
        <f t="shared" si="300"/>
        <v>327449.39573071356</v>
      </c>
      <c r="AG59" s="161">
        <f t="shared" si="304"/>
        <v>0.95730713852405691</v>
      </c>
      <c r="AH59" s="161">
        <f t="shared" si="305"/>
        <v>0.95730713852405691</v>
      </c>
      <c r="AI59" s="161">
        <f t="shared" si="306"/>
        <v>0.95730713852405691</v>
      </c>
      <c r="AJ59" s="161">
        <f t="shared" si="307"/>
        <v>0.95730713852405691</v>
      </c>
      <c r="AK59" s="161">
        <f t="shared" si="308"/>
        <v>0.95730713852405691</v>
      </c>
      <c r="AL59" s="133">
        <v>0.95730713852405691</v>
      </c>
      <c r="AM59" s="133">
        <v>0.95730713852405691</v>
      </c>
      <c r="AN59" s="133">
        <v>0.95730713852405691</v>
      </c>
      <c r="AO59" s="133">
        <v>0.95730713852405691</v>
      </c>
      <c r="AP59" s="133">
        <v>0.95730713852405691</v>
      </c>
      <c r="AQ59" s="133">
        <v>0.95730713852405691</v>
      </c>
      <c r="AR59" s="133">
        <v>0.95730713852405691</v>
      </c>
      <c r="AS59" s="133">
        <v>0.95730713852405691</v>
      </c>
      <c r="AT59" s="133">
        <v>0.95730713852405691</v>
      </c>
      <c r="AU59" s="133">
        <v>0.95730713852405691</v>
      </c>
      <c r="AV59" s="133">
        <v>0.95730713852405691</v>
      </c>
      <c r="AW59" s="133">
        <v>0.95730713852405691</v>
      </c>
      <c r="AX59" s="133">
        <v>0.95730713852405691</v>
      </c>
      <c r="AY59" s="133">
        <v>0.95730713852405691</v>
      </c>
      <c r="AZ59" s="133">
        <v>0.95730713852405691</v>
      </c>
      <c r="BA59" s="133">
        <v>0.95730713852405691</v>
      </c>
      <c r="BB59" s="133">
        <v>0.95730713852405691</v>
      </c>
      <c r="BC59" s="133">
        <v>0.95730713852405691</v>
      </c>
      <c r="BD59" s="133">
        <v>0.95730713852405691</v>
      </c>
      <c r="BE59" s="133">
        <v>0.95730713852405691</v>
      </c>
      <c r="BF59" s="135">
        <v>0.95730713852405691</v>
      </c>
      <c r="BG59" s="135">
        <v>0.95730713852405691</v>
      </c>
      <c r="BH59" s="135">
        <v>0.95730713852405691</v>
      </c>
      <c r="BI59" s="135">
        <v>0.95730713852405691</v>
      </c>
      <c r="BJ59" s="135">
        <v>0.95730713852405691</v>
      </c>
      <c r="BK59" s="135">
        <v>0.95730713852405691</v>
      </c>
    </row>
    <row r="60" spans="1:63" x14ac:dyDescent="0.35">
      <c r="A60" s="150" t="s">
        <v>14</v>
      </c>
      <c r="B60" s="128">
        <v>2333.200682117511</v>
      </c>
      <c r="C60" s="128">
        <f t="shared" ref="C60:F60" si="310">B60+($G60-$B60)/5</f>
        <v>2333.200682117511</v>
      </c>
      <c r="D60" s="128">
        <f t="shared" si="310"/>
        <v>2333.200682117511</v>
      </c>
      <c r="E60" s="128">
        <f t="shared" si="310"/>
        <v>2333.200682117511</v>
      </c>
      <c r="F60" s="128">
        <f t="shared" si="310"/>
        <v>2333.200682117511</v>
      </c>
      <c r="G60" s="133">
        <f t="shared" si="303"/>
        <v>2333.200682117511</v>
      </c>
      <c r="H60" s="133">
        <f t="shared" si="300"/>
        <v>2333.200682117511</v>
      </c>
      <c r="I60" s="133">
        <f t="shared" si="300"/>
        <v>2333.200682117511</v>
      </c>
      <c r="J60" s="133">
        <f t="shared" si="300"/>
        <v>2333.200682117511</v>
      </c>
      <c r="K60" s="133">
        <f t="shared" si="300"/>
        <v>2333.200682117511</v>
      </c>
      <c r="L60" s="133">
        <f t="shared" si="300"/>
        <v>2333.200682117511</v>
      </c>
      <c r="M60" s="133">
        <f t="shared" si="300"/>
        <v>2333.2006821175105</v>
      </c>
      <c r="N60" s="133">
        <f t="shared" si="300"/>
        <v>2333.20068211751</v>
      </c>
      <c r="O60" s="133">
        <f t="shared" si="300"/>
        <v>2333.2006821175096</v>
      </c>
      <c r="P60" s="133">
        <f t="shared" si="300"/>
        <v>2333.2006821175091</v>
      </c>
      <c r="Q60" s="133">
        <f t="shared" si="300"/>
        <v>2333.2006821175091</v>
      </c>
      <c r="R60" s="133">
        <f t="shared" si="300"/>
        <v>2333.2006821175091</v>
      </c>
      <c r="S60" s="133">
        <f t="shared" si="300"/>
        <v>2333.2006821175091</v>
      </c>
      <c r="T60" s="133">
        <f t="shared" si="300"/>
        <v>2333.2006821175091</v>
      </c>
      <c r="U60" s="133">
        <f t="shared" si="300"/>
        <v>2333.2006821175091</v>
      </c>
      <c r="V60" s="133">
        <f t="shared" si="300"/>
        <v>2333.2006821175091</v>
      </c>
      <c r="W60" s="133">
        <f t="shared" si="300"/>
        <v>2333.2006821175091</v>
      </c>
      <c r="X60" s="133">
        <f t="shared" si="300"/>
        <v>2333.2006821175091</v>
      </c>
      <c r="Y60" s="133">
        <f t="shared" si="300"/>
        <v>2333.2006821175091</v>
      </c>
      <c r="Z60" s="133">
        <f t="shared" si="300"/>
        <v>2333.2006821175091</v>
      </c>
      <c r="AA60" s="133">
        <f t="shared" si="300"/>
        <v>2333.2006821175091</v>
      </c>
      <c r="AB60" s="133">
        <f t="shared" si="300"/>
        <v>2333.2006821175091</v>
      </c>
      <c r="AC60" s="133">
        <f t="shared" si="300"/>
        <v>2333.2006821175091</v>
      </c>
      <c r="AD60" s="133">
        <f t="shared" si="300"/>
        <v>2333.2006821175091</v>
      </c>
      <c r="AE60" s="133">
        <f t="shared" si="300"/>
        <v>2333.2006821175091</v>
      </c>
      <c r="AF60" s="133">
        <f t="shared" si="300"/>
        <v>2333.2006821175091</v>
      </c>
      <c r="AG60" s="161">
        <f t="shared" si="304"/>
        <v>6.8211751120076597E-3</v>
      </c>
      <c r="AH60" s="161">
        <f t="shared" si="305"/>
        <v>6.8211751120076597E-3</v>
      </c>
      <c r="AI60" s="161">
        <f t="shared" si="306"/>
        <v>6.8211751120076597E-3</v>
      </c>
      <c r="AJ60" s="161">
        <f t="shared" si="307"/>
        <v>6.8211751120076597E-3</v>
      </c>
      <c r="AK60" s="161">
        <f t="shared" si="308"/>
        <v>6.8211751120076597E-3</v>
      </c>
      <c r="AL60" s="128">
        <v>6.8211751120076589E-3</v>
      </c>
      <c r="AM60" s="128">
        <v>6.8211751120076589E-3</v>
      </c>
      <c r="AN60" s="128">
        <v>6.8211751120076589E-3</v>
      </c>
      <c r="AO60" s="128">
        <v>6.8211751120076589E-3</v>
      </c>
      <c r="AP60" s="128">
        <v>6.8211751120076589E-3</v>
      </c>
      <c r="AQ60" s="128">
        <v>6.8211751120076589E-3</v>
      </c>
      <c r="AR60" s="128">
        <v>6.8211751120076589E-3</v>
      </c>
      <c r="AS60" s="128">
        <v>6.8211751120076589E-3</v>
      </c>
      <c r="AT60" s="128">
        <v>6.8211751120076589E-3</v>
      </c>
      <c r="AU60" s="128">
        <v>6.8211751120076589E-3</v>
      </c>
      <c r="AV60" s="128">
        <v>6.8211751120076589E-3</v>
      </c>
      <c r="AW60" s="128">
        <v>6.8211751120076589E-3</v>
      </c>
      <c r="AX60" s="128">
        <v>6.8211751120076589E-3</v>
      </c>
      <c r="AY60" s="128">
        <v>6.8211751120076589E-3</v>
      </c>
      <c r="AZ60" s="128">
        <v>6.8211751120076589E-3</v>
      </c>
      <c r="BA60" s="128">
        <v>6.8211751120076589E-3</v>
      </c>
      <c r="BB60" s="128">
        <v>6.8211751120076589E-3</v>
      </c>
      <c r="BC60" s="128">
        <v>6.8211751120076589E-3</v>
      </c>
      <c r="BD60" s="128">
        <v>6.8211751120076589E-3</v>
      </c>
      <c r="BE60" s="128">
        <v>6.8211751120076589E-3</v>
      </c>
      <c r="BF60" s="130">
        <v>6.8211751120076589E-3</v>
      </c>
      <c r="BG60" s="130">
        <v>6.8211751120076589E-3</v>
      </c>
      <c r="BH60" s="130">
        <v>6.8211751120076589E-3</v>
      </c>
      <c r="BI60" s="130">
        <v>6.8211751120076589E-3</v>
      </c>
      <c r="BJ60" s="130">
        <v>6.8211751120076589E-3</v>
      </c>
      <c r="BK60" s="130">
        <v>6.8211751120076589E-3</v>
      </c>
    </row>
    <row r="61" spans="1:63" x14ac:dyDescent="0.35">
      <c r="A61" s="149" t="s">
        <v>9</v>
      </c>
      <c r="B61" s="133">
        <v>3099.8009062351539</v>
      </c>
      <c r="C61" s="128">
        <f t="shared" ref="C61:F61" si="311">B61+($G61-$B61)/5</f>
        <v>3099.8009062351539</v>
      </c>
      <c r="D61" s="128">
        <f t="shared" si="311"/>
        <v>3099.8009062351539</v>
      </c>
      <c r="E61" s="128">
        <f t="shared" si="311"/>
        <v>3099.8009062351539</v>
      </c>
      <c r="F61" s="128">
        <f t="shared" si="311"/>
        <v>3099.8009062351539</v>
      </c>
      <c r="G61" s="133">
        <f t="shared" si="303"/>
        <v>3099.8009062351539</v>
      </c>
      <c r="H61" s="133">
        <f t="shared" si="300"/>
        <v>3099.8009062351539</v>
      </c>
      <c r="I61" s="133">
        <f t="shared" si="300"/>
        <v>3099.8009062351539</v>
      </c>
      <c r="J61" s="133">
        <f t="shared" si="300"/>
        <v>3099.8009062351539</v>
      </c>
      <c r="K61" s="133">
        <f t="shared" si="300"/>
        <v>3099.8009062351539</v>
      </c>
      <c r="L61" s="133">
        <f t="shared" si="300"/>
        <v>3099.8009062351539</v>
      </c>
      <c r="M61" s="133">
        <f t="shared" si="300"/>
        <v>3099.8009062351534</v>
      </c>
      <c r="N61" s="133">
        <f t="shared" si="300"/>
        <v>3099.800906235153</v>
      </c>
      <c r="O61" s="133">
        <f t="shared" si="300"/>
        <v>3099.8009062351525</v>
      </c>
      <c r="P61" s="133">
        <f t="shared" si="300"/>
        <v>3099.8009062351521</v>
      </c>
      <c r="Q61" s="133">
        <f t="shared" si="300"/>
        <v>3099.8009062351521</v>
      </c>
      <c r="R61" s="133">
        <f t="shared" si="300"/>
        <v>3099.8009062351521</v>
      </c>
      <c r="S61" s="133">
        <f t="shared" si="300"/>
        <v>3099.8009062351521</v>
      </c>
      <c r="T61" s="133">
        <f t="shared" si="300"/>
        <v>3099.8009062351521</v>
      </c>
      <c r="U61" s="133">
        <f t="shared" si="300"/>
        <v>3099.8009062351521</v>
      </c>
      <c r="V61" s="133">
        <f t="shared" si="300"/>
        <v>3099.8009062351521</v>
      </c>
      <c r="W61" s="133">
        <f t="shared" si="300"/>
        <v>3099.8009062351521</v>
      </c>
      <c r="X61" s="133">
        <f t="shared" si="300"/>
        <v>3099.8009062351521</v>
      </c>
      <c r="Y61" s="133">
        <f t="shared" si="300"/>
        <v>3099.8009062351521</v>
      </c>
      <c r="Z61" s="133">
        <f t="shared" si="300"/>
        <v>3099.8009062351521</v>
      </c>
      <c r="AA61" s="133">
        <f t="shared" si="300"/>
        <v>3099.8009062351521</v>
      </c>
      <c r="AB61" s="133">
        <f t="shared" si="300"/>
        <v>3099.8009062351521</v>
      </c>
      <c r="AC61" s="133">
        <f t="shared" si="300"/>
        <v>3099.8009062351521</v>
      </c>
      <c r="AD61" s="133">
        <f t="shared" si="300"/>
        <v>3099.8009062351521</v>
      </c>
      <c r="AE61" s="133">
        <f t="shared" si="300"/>
        <v>3099.8009062351521</v>
      </c>
      <c r="AF61" s="133">
        <f t="shared" si="300"/>
        <v>3099.8009062351521</v>
      </c>
      <c r="AG61" s="161">
        <f t="shared" si="304"/>
        <v>9.0623515396028396E-3</v>
      </c>
      <c r="AH61" s="161">
        <f t="shared" si="305"/>
        <v>9.0623515396028396E-3</v>
      </c>
      <c r="AI61" s="161">
        <f t="shared" si="306"/>
        <v>9.0623515396028396E-3</v>
      </c>
      <c r="AJ61" s="161">
        <f t="shared" si="307"/>
        <v>9.0623515396028396E-3</v>
      </c>
      <c r="AK61" s="161">
        <f t="shared" si="308"/>
        <v>9.0623515396028396E-3</v>
      </c>
      <c r="AL61" s="133">
        <v>9.0623515396028396E-3</v>
      </c>
      <c r="AM61" s="133">
        <v>9.0623515396028396E-3</v>
      </c>
      <c r="AN61" s="133">
        <v>9.0623515396028396E-3</v>
      </c>
      <c r="AO61" s="133">
        <v>9.0623515396028396E-3</v>
      </c>
      <c r="AP61" s="133">
        <v>9.0623515396028396E-3</v>
      </c>
      <c r="AQ61" s="133">
        <v>9.0623515396028396E-3</v>
      </c>
      <c r="AR61" s="133">
        <v>9.0623515396028396E-3</v>
      </c>
      <c r="AS61" s="133">
        <v>9.0623515396028396E-3</v>
      </c>
      <c r="AT61" s="133">
        <v>9.0623515396028396E-3</v>
      </c>
      <c r="AU61" s="133">
        <v>9.0623515396028396E-3</v>
      </c>
      <c r="AV61" s="133">
        <v>9.0623515396028396E-3</v>
      </c>
      <c r="AW61" s="133">
        <v>9.0623515396028396E-3</v>
      </c>
      <c r="AX61" s="133">
        <v>9.0623515396028396E-3</v>
      </c>
      <c r="AY61" s="133">
        <v>9.0623515396028396E-3</v>
      </c>
      <c r="AZ61" s="133">
        <v>9.0623515396028396E-3</v>
      </c>
      <c r="BA61" s="133">
        <v>9.0623515396028396E-3</v>
      </c>
      <c r="BB61" s="133">
        <v>9.0623515396028396E-3</v>
      </c>
      <c r="BC61" s="133">
        <v>9.0623515396028396E-3</v>
      </c>
      <c r="BD61" s="133">
        <v>9.0623515396028396E-3</v>
      </c>
      <c r="BE61" s="133">
        <v>9.0623515396028396E-3</v>
      </c>
      <c r="BF61" s="135">
        <v>9.0623515396028396E-3</v>
      </c>
      <c r="BG61" s="135">
        <v>9.0623515396028396E-3</v>
      </c>
      <c r="BH61" s="135">
        <v>9.0623515396028396E-3</v>
      </c>
      <c r="BI61" s="135">
        <v>9.0623515396028396E-3</v>
      </c>
      <c r="BJ61" s="135">
        <v>9.0623515396028396E-3</v>
      </c>
      <c r="BK61" s="135">
        <v>9.0623515396028396E-3</v>
      </c>
    </row>
    <row r="62" spans="1:63" x14ac:dyDescent="0.35">
      <c r="A62" s="136"/>
      <c r="B62" s="127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8"/>
      <c r="AT62" s="128"/>
      <c r="AU62" s="128"/>
      <c r="AV62" s="128"/>
      <c r="AW62" s="128"/>
      <c r="AX62" s="128"/>
      <c r="AY62" s="128"/>
      <c r="AZ62" s="128"/>
      <c r="BA62" s="128"/>
      <c r="BB62" s="128"/>
      <c r="BC62" s="128"/>
      <c r="BD62" s="128"/>
      <c r="BE62" s="128"/>
      <c r="BF62" s="130"/>
      <c r="BG62" s="130"/>
      <c r="BH62" s="130"/>
      <c r="BI62" s="130"/>
      <c r="BJ62" s="130"/>
      <c r="BK62" s="130"/>
    </row>
    <row r="63" spans="1:63" x14ac:dyDescent="0.35">
      <c r="A63" s="137" t="s">
        <v>32</v>
      </c>
      <c r="B63" s="132">
        <f>'Initial demand info'!F37</f>
        <v>33322.601640000001</v>
      </c>
      <c r="C63" s="128">
        <f t="shared" ref="C63:F63" si="312">B63+($G63-$B63)/5</f>
        <v>34585.659285912938</v>
      </c>
      <c r="D63" s="128">
        <f t="shared" si="312"/>
        <v>35848.716931825875</v>
      </c>
      <c r="E63" s="128">
        <f t="shared" si="312"/>
        <v>37111.774577738812</v>
      </c>
      <c r="F63" s="128">
        <f t="shared" si="312"/>
        <v>38374.832223651749</v>
      </c>
      <c r="G63" s="127">
        <f>'Initial demand info'!K38</f>
        <v>39637.889869564686</v>
      </c>
      <c r="H63" s="128">
        <f>G63+($L63-$G63)/5</f>
        <v>39259.729946228996</v>
      </c>
      <c r="I63" s="128">
        <f t="shared" ref="I63:K63" si="313">H63+($L63-$G63)/5</f>
        <v>38881.570022893306</v>
      </c>
      <c r="J63" s="128">
        <f t="shared" si="313"/>
        <v>38503.410099557615</v>
      </c>
      <c r="K63" s="128">
        <f t="shared" si="313"/>
        <v>38125.250176221925</v>
      </c>
      <c r="L63" s="127">
        <f>'Initial demand info'!L38</f>
        <v>37747.090252886228</v>
      </c>
      <c r="M63" s="128">
        <f>L63+($Q63-$L63)/5</f>
        <v>37069.737652085823</v>
      </c>
      <c r="N63" s="128">
        <f t="shared" ref="N63:P63" si="314">M63+($Q63-$L63)/5</f>
        <v>36392.385051285419</v>
      </c>
      <c r="O63" s="128">
        <f t="shared" si="314"/>
        <v>35715.032450485014</v>
      </c>
      <c r="P63" s="128">
        <f t="shared" si="314"/>
        <v>35037.67984968461</v>
      </c>
      <c r="Q63" s="127">
        <f>'Initial demand info'!M38</f>
        <v>34360.32724888419</v>
      </c>
      <c r="R63" s="128">
        <f>Q63+($V63-$Q63)/5</f>
        <v>34138.519677659766</v>
      </c>
      <c r="S63" s="128">
        <f t="shared" ref="S63:U63" si="315">R63+($V63-$Q63)/5</f>
        <v>33916.712106435341</v>
      </c>
      <c r="T63" s="128">
        <f t="shared" si="315"/>
        <v>33694.904535210917</v>
      </c>
      <c r="U63" s="128">
        <f t="shared" si="315"/>
        <v>33473.096963986492</v>
      </c>
      <c r="V63" s="127">
        <f>'Initial demand info'!N38</f>
        <v>33251.289392762061</v>
      </c>
      <c r="W63" s="128">
        <f>V63+($AA63-$V63)/5</f>
        <v>33119.070588241448</v>
      </c>
      <c r="X63" s="128">
        <f t="shared" ref="X63:Z63" si="316">W63+($AA63-$V63)/5</f>
        <v>32986.851783720835</v>
      </c>
      <c r="Y63" s="128">
        <f t="shared" si="316"/>
        <v>32854.632979200222</v>
      </c>
      <c r="Z63" s="128">
        <f t="shared" si="316"/>
        <v>32722.414174679605</v>
      </c>
      <c r="AA63" s="127">
        <f>'Initial demand info'!O38</f>
        <v>32590.195370158977</v>
      </c>
      <c r="AB63" s="128">
        <f>AA63+($AF63-$AA63)/5</f>
        <v>32399.006524236382</v>
      </c>
      <c r="AC63" s="128">
        <f t="shared" ref="AC63:AE63" si="317">AB63+($AF63-$AA63)/5</f>
        <v>32207.817678313786</v>
      </c>
      <c r="AD63" s="128">
        <f t="shared" si="317"/>
        <v>32016.62883239119</v>
      </c>
      <c r="AE63" s="128">
        <f t="shared" si="317"/>
        <v>31825.439986468595</v>
      </c>
      <c r="AF63" s="127">
        <f>'Initial demand info'!P38</f>
        <v>31634.251140545999</v>
      </c>
      <c r="AG63" s="133">
        <v>1</v>
      </c>
      <c r="AH63" s="133">
        <v>1</v>
      </c>
      <c r="AI63" s="133">
        <v>0.99999999999999978</v>
      </c>
      <c r="AJ63" s="133">
        <v>0.99999999999999978</v>
      </c>
      <c r="AK63" s="133">
        <v>0.99999999999999978</v>
      </c>
      <c r="AL63" s="133">
        <v>0.99999999999999978</v>
      </c>
      <c r="AM63" s="133">
        <v>0.99999999999999967</v>
      </c>
      <c r="AN63" s="133">
        <v>0.99999999999999956</v>
      </c>
      <c r="AO63" s="133">
        <v>0.99999999999999967</v>
      </c>
      <c r="AP63" s="133">
        <v>0.99999999999999956</v>
      </c>
      <c r="AQ63" s="133">
        <v>0.99999999999999989</v>
      </c>
      <c r="AR63" s="133">
        <v>0.99999999999999989</v>
      </c>
      <c r="AS63" s="133">
        <v>0.99999999999999989</v>
      </c>
      <c r="AT63" s="133">
        <v>0.99999999999999989</v>
      </c>
      <c r="AU63" s="133">
        <v>0.99999999999999989</v>
      </c>
      <c r="AV63" s="133">
        <v>0.99999999999999989</v>
      </c>
      <c r="AW63" s="133">
        <v>0.99999999999999989</v>
      </c>
      <c r="AX63" s="133">
        <v>0.99999999999999989</v>
      </c>
      <c r="AY63" s="133">
        <v>0.99999999999999989</v>
      </c>
      <c r="AZ63" s="133">
        <v>0.99999999999999989</v>
      </c>
      <c r="BA63" s="133">
        <v>0.99999999999999989</v>
      </c>
      <c r="BB63" s="133">
        <v>0.99999999999999989</v>
      </c>
      <c r="BC63" s="133">
        <v>0.99999999999999989</v>
      </c>
      <c r="BD63" s="133">
        <v>0.99999999999999989</v>
      </c>
      <c r="BE63" s="133">
        <v>0.99999999999999989</v>
      </c>
      <c r="BF63" s="135">
        <v>0.99999999999999989</v>
      </c>
      <c r="BG63" s="135">
        <v>0.99999999999999989</v>
      </c>
      <c r="BH63" s="135">
        <v>0.99999999999999989</v>
      </c>
      <c r="BI63" s="135">
        <v>0.99999999999999989</v>
      </c>
      <c r="BJ63" s="135">
        <v>0.99999999999999989</v>
      </c>
      <c r="BK63" s="135">
        <v>0.99999999999999989</v>
      </c>
    </row>
    <row r="64" spans="1:63" x14ac:dyDescent="0.35">
      <c r="A64" s="136" t="s">
        <v>29</v>
      </c>
      <c r="B64" s="127">
        <f>'Initial demand info'!F38</f>
        <v>6310.5426700000007</v>
      </c>
      <c r="C64" s="128">
        <f t="shared" ref="C64:F64" si="318">B64+($G64-$B64)/5</f>
        <v>6549.7268236466434</v>
      </c>
      <c r="D64" s="128">
        <f t="shared" si="318"/>
        <v>6788.9109772932861</v>
      </c>
      <c r="E64" s="128">
        <f t="shared" si="318"/>
        <v>7028.0951309399288</v>
      </c>
      <c r="F64" s="128">
        <f t="shared" si="318"/>
        <v>7267.2792845865715</v>
      </c>
      <c r="G64" s="133">
        <f>G$63*AL64</f>
        <v>7506.4634382332124</v>
      </c>
      <c r="H64" s="133">
        <f t="shared" ref="H64:AF66" si="319">H$63*AM64</f>
        <v>7434.8490397961241</v>
      </c>
      <c r="I64" s="133">
        <f t="shared" si="319"/>
        <v>7363.2346413590358</v>
      </c>
      <c r="J64" s="133">
        <f t="shared" si="319"/>
        <v>7291.6202429219484</v>
      </c>
      <c r="K64" s="133">
        <f t="shared" si="319"/>
        <v>7220.0058444848601</v>
      </c>
      <c r="L64" s="133">
        <f t="shared" si="319"/>
        <v>7148.3914460477681</v>
      </c>
      <c r="M64" s="133">
        <f t="shared" si="319"/>
        <v>7020.1171471526477</v>
      </c>
      <c r="N64" s="133">
        <f t="shared" si="319"/>
        <v>6891.8428482575273</v>
      </c>
      <c r="O64" s="133">
        <f t="shared" si="319"/>
        <v>6763.5685493624069</v>
      </c>
      <c r="P64" s="133">
        <f t="shared" si="319"/>
        <v>6635.2942504672856</v>
      </c>
      <c r="Q64" s="133">
        <f t="shared" si="319"/>
        <v>6507.0199515721624</v>
      </c>
      <c r="R64" s="133">
        <f t="shared" si="319"/>
        <v>6465.0149298820979</v>
      </c>
      <c r="S64" s="133">
        <f t="shared" si="319"/>
        <v>6423.0099081920334</v>
      </c>
      <c r="T64" s="133">
        <f t="shared" si="319"/>
        <v>6381.0048865019689</v>
      </c>
      <c r="U64" s="133">
        <f t="shared" si="319"/>
        <v>6338.9998648119044</v>
      </c>
      <c r="V64" s="133">
        <f t="shared" si="319"/>
        <v>6296.994843121839</v>
      </c>
      <c r="W64" s="133">
        <f t="shared" si="319"/>
        <v>6271.955780113014</v>
      </c>
      <c r="X64" s="133">
        <f t="shared" si="319"/>
        <v>6246.916717104189</v>
      </c>
      <c r="Y64" s="133">
        <f t="shared" si="319"/>
        <v>6221.877654095365</v>
      </c>
      <c r="Z64" s="133">
        <f t="shared" si="319"/>
        <v>6196.8385910865391</v>
      </c>
      <c r="AA64" s="133">
        <f t="shared" si="319"/>
        <v>6171.7995280777122</v>
      </c>
      <c r="AB64" s="133">
        <f t="shared" si="319"/>
        <v>6135.5929568793308</v>
      </c>
      <c r="AC64" s="133">
        <f t="shared" si="319"/>
        <v>6099.3863856809503</v>
      </c>
      <c r="AD64" s="133">
        <f t="shared" si="319"/>
        <v>6063.1798144825698</v>
      </c>
      <c r="AE64" s="133">
        <f t="shared" si="319"/>
        <v>6026.9732432841893</v>
      </c>
      <c r="AF64" s="133">
        <f t="shared" si="319"/>
        <v>5990.7666720858078</v>
      </c>
      <c r="AG64" s="161">
        <f>B64/B$63</f>
        <v>0.18937725025722213</v>
      </c>
      <c r="AH64" s="161">
        <f t="shared" ref="AH64:AK64" si="320">C64/C$63</f>
        <v>0.18937695446258004</v>
      </c>
      <c r="AI64" s="161">
        <f t="shared" si="320"/>
        <v>0.18937667951139997</v>
      </c>
      <c r="AJ64" s="161">
        <f t="shared" si="320"/>
        <v>0.18937642327553028</v>
      </c>
      <c r="AK64" s="161">
        <f t="shared" si="320"/>
        <v>0.18937618390700073</v>
      </c>
      <c r="AL64" s="128">
        <v>0.18937595979338268</v>
      </c>
      <c r="AM64" s="128">
        <v>0.18937595979338268</v>
      </c>
      <c r="AN64" s="128">
        <v>0.18937595979338268</v>
      </c>
      <c r="AO64" s="128">
        <v>0.1893759597933827</v>
      </c>
      <c r="AP64" s="128">
        <v>0.1893759597933827</v>
      </c>
      <c r="AQ64" s="128">
        <v>0.18937595979338265</v>
      </c>
      <c r="AR64" s="128">
        <v>0.18937595979338265</v>
      </c>
      <c r="AS64" s="128">
        <v>0.18937595979338265</v>
      </c>
      <c r="AT64" s="128">
        <v>0.18937595979338265</v>
      </c>
      <c r="AU64" s="128">
        <v>0.18937595979338265</v>
      </c>
      <c r="AV64" s="128">
        <v>0.18937595979338265</v>
      </c>
      <c r="AW64" s="128">
        <v>0.18937595979338265</v>
      </c>
      <c r="AX64" s="128">
        <v>0.18937595979338265</v>
      </c>
      <c r="AY64" s="128">
        <v>0.18937595979338265</v>
      </c>
      <c r="AZ64" s="128">
        <v>0.18937595979338265</v>
      </c>
      <c r="BA64" s="128">
        <v>0.18937595979338265</v>
      </c>
      <c r="BB64" s="128">
        <v>0.18937595979338265</v>
      </c>
      <c r="BC64" s="128">
        <v>0.18937595979338265</v>
      </c>
      <c r="BD64" s="128">
        <v>0.18937595979338265</v>
      </c>
      <c r="BE64" s="128">
        <v>0.18937595979338265</v>
      </c>
      <c r="BF64" s="130">
        <v>0.18937595979338265</v>
      </c>
      <c r="BG64" s="130">
        <v>0.18937595979338265</v>
      </c>
      <c r="BH64" s="130">
        <v>0.18937595979338265</v>
      </c>
      <c r="BI64" s="130">
        <v>0.18937595979338265</v>
      </c>
      <c r="BJ64" s="130">
        <v>0.18937595979338265</v>
      </c>
      <c r="BK64" s="130">
        <v>0.18937595979338265</v>
      </c>
    </row>
    <row r="65" spans="1:63" x14ac:dyDescent="0.35">
      <c r="A65" s="131" t="s">
        <v>28</v>
      </c>
      <c r="B65" s="132">
        <f>'Initial demand info'!F39</f>
        <v>1580.5635200000002</v>
      </c>
      <c r="C65" s="128">
        <f t="shared" ref="C65:F65" si="321">B65+($G65-$B65)/5</f>
        <v>1640.465700355287</v>
      </c>
      <c r="D65" s="128">
        <f t="shared" si="321"/>
        <v>1700.3678807105739</v>
      </c>
      <c r="E65" s="128">
        <f t="shared" si="321"/>
        <v>1760.2700610658608</v>
      </c>
      <c r="F65" s="128">
        <f t="shared" si="321"/>
        <v>1820.1722414211476</v>
      </c>
      <c r="G65" s="133">
        <f t="shared" ref="G65:G66" si="322">G$63*AL65</f>
        <v>1880.0744217764343</v>
      </c>
      <c r="H65" s="133">
        <f t="shared" si="319"/>
        <v>1862.1378262224346</v>
      </c>
      <c r="I65" s="133">
        <f t="shared" si="319"/>
        <v>1844.2012306684344</v>
      </c>
      <c r="J65" s="133">
        <f t="shared" si="319"/>
        <v>1826.2646351144347</v>
      </c>
      <c r="K65" s="133">
        <f t="shared" si="319"/>
        <v>1808.3280395604347</v>
      </c>
      <c r="L65" s="133">
        <f t="shared" si="319"/>
        <v>1790.3914440064352</v>
      </c>
      <c r="M65" s="133">
        <f t="shared" si="319"/>
        <v>1758.263767596839</v>
      </c>
      <c r="N65" s="133">
        <f t="shared" si="319"/>
        <v>1726.1360911872428</v>
      </c>
      <c r="O65" s="133">
        <f t="shared" si="319"/>
        <v>1694.0084147776465</v>
      </c>
      <c r="P65" s="133">
        <f t="shared" si="319"/>
        <v>1661.8807383680505</v>
      </c>
      <c r="Q65" s="133">
        <f t="shared" si="319"/>
        <v>1629.7530619584536</v>
      </c>
      <c r="R65" s="133">
        <f t="shared" si="319"/>
        <v>1619.2324529505661</v>
      </c>
      <c r="S65" s="133">
        <f t="shared" si="319"/>
        <v>1608.7118439426786</v>
      </c>
      <c r="T65" s="133">
        <f t="shared" si="319"/>
        <v>1598.1912349347911</v>
      </c>
      <c r="U65" s="133">
        <f t="shared" si="319"/>
        <v>1587.6706259269035</v>
      </c>
      <c r="V65" s="133">
        <f t="shared" si="319"/>
        <v>1577.1500169190156</v>
      </c>
      <c r="W65" s="133">
        <f t="shared" si="319"/>
        <v>1570.8787145546603</v>
      </c>
      <c r="X65" s="133">
        <f t="shared" si="319"/>
        <v>1564.6074121903048</v>
      </c>
      <c r="Y65" s="133">
        <f t="shared" si="319"/>
        <v>1558.3361098259493</v>
      </c>
      <c r="Z65" s="133">
        <f t="shared" si="319"/>
        <v>1552.0648074615935</v>
      </c>
      <c r="AA65" s="133">
        <f t="shared" si="319"/>
        <v>1545.7935050972374</v>
      </c>
      <c r="AB65" s="133">
        <f t="shared" si="319"/>
        <v>1536.7251803168099</v>
      </c>
      <c r="AC65" s="133">
        <f t="shared" si="319"/>
        <v>1527.6568555363824</v>
      </c>
      <c r="AD65" s="133">
        <f t="shared" si="319"/>
        <v>1518.5885307559552</v>
      </c>
      <c r="AE65" s="133">
        <f t="shared" si="319"/>
        <v>1509.5202059755277</v>
      </c>
      <c r="AF65" s="133">
        <f t="shared" si="319"/>
        <v>1500.4518811951002</v>
      </c>
      <c r="AG65" s="161">
        <f t="shared" ref="AG65:AG66" si="323">B65/B$63</f>
        <v>4.7432176427146464E-2</v>
      </c>
      <c r="AH65" s="161">
        <f t="shared" ref="AH65:AH66" si="324">C65/C$63</f>
        <v>4.7431962675450981E-2</v>
      </c>
      <c r="AI65" s="161">
        <f t="shared" ref="AI65:AI66" si="325">D65/D$63</f>
        <v>4.7431763985980112E-2</v>
      </c>
      <c r="AJ65" s="161">
        <f t="shared" ref="AJ65:AJ66" si="326">E65/E$63</f>
        <v>4.7431578820856066E-2</v>
      </c>
      <c r="AK65" s="161">
        <f t="shared" ref="AK65:AK66" si="327">F65/F$63</f>
        <v>4.7431405844670038E-2</v>
      </c>
      <c r="AL65" s="133">
        <v>4.7431243892223918E-2</v>
      </c>
      <c r="AM65" s="133">
        <v>4.7431243892223918E-2</v>
      </c>
      <c r="AN65" s="133">
        <v>4.7431243892223911E-2</v>
      </c>
      <c r="AO65" s="133">
        <v>4.7431243892223911E-2</v>
      </c>
      <c r="AP65" s="133">
        <v>4.7431243892223911E-2</v>
      </c>
      <c r="AQ65" s="133">
        <v>4.7431243892223925E-2</v>
      </c>
      <c r="AR65" s="133">
        <v>4.7431243892223925E-2</v>
      </c>
      <c r="AS65" s="133">
        <v>4.7431243892223925E-2</v>
      </c>
      <c r="AT65" s="133">
        <v>4.7431243892223925E-2</v>
      </c>
      <c r="AU65" s="133">
        <v>4.7431243892223925E-2</v>
      </c>
      <c r="AV65" s="133">
        <v>4.7431243892223925E-2</v>
      </c>
      <c r="AW65" s="133">
        <v>4.7431243892223925E-2</v>
      </c>
      <c r="AX65" s="133">
        <v>4.7431243892223925E-2</v>
      </c>
      <c r="AY65" s="133">
        <v>4.7431243892223925E-2</v>
      </c>
      <c r="AZ65" s="133">
        <v>4.7431243892223925E-2</v>
      </c>
      <c r="BA65" s="133">
        <v>4.7431243892223925E-2</v>
      </c>
      <c r="BB65" s="133">
        <v>4.7431243892223925E-2</v>
      </c>
      <c r="BC65" s="133">
        <v>4.7431243892223925E-2</v>
      </c>
      <c r="BD65" s="133">
        <v>4.7431243892223925E-2</v>
      </c>
      <c r="BE65" s="133">
        <v>4.7431243892223925E-2</v>
      </c>
      <c r="BF65" s="135">
        <v>4.7431243892223925E-2</v>
      </c>
      <c r="BG65" s="135">
        <v>4.7431243892223925E-2</v>
      </c>
      <c r="BH65" s="135">
        <v>4.7431243892223925E-2</v>
      </c>
      <c r="BI65" s="135">
        <v>4.7431243892223925E-2</v>
      </c>
      <c r="BJ65" s="135">
        <v>4.7431243892223925E-2</v>
      </c>
      <c r="BK65" s="135">
        <v>4.7431243892223925E-2</v>
      </c>
    </row>
    <row r="66" spans="1:63" x14ac:dyDescent="0.35">
      <c r="A66" s="65" t="s">
        <v>30</v>
      </c>
      <c r="B66" s="75">
        <f>'Initial demand info'!F40</f>
        <v>25431.495450000002</v>
      </c>
      <c r="C66" s="128">
        <f t="shared" ref="C66:F66" si="328">B66+($G66-$B66)/5</f>
        <v>26395.466761911008</v>
      </c>
      <c r="D66" s="128">
        <f t="shared" si="328"/>
        <v>27359.438073822013</v>
      </c>
      <c r="E66" s="128">
        <f t="shared" si="328"/>
        <v>28323.409385733019</v>
      </c>
      <c r="F66" s="128">
        <f t="shared" si="328"/>
        <v>29287.380697644025</v>
      </c>
      <c r="G66" s="133">
        <f t="shared" si="322"/>
        <v>30251.352009555034</v>
      </c>
      <c r="H66" s="133">
        <f t="shared" si="319"/>
        <v>29962.743080210432</v>
      </c>
      <c r="I66" s="133">
        <f t="shared" si="319"/>
        <v>29674.13415086583</v>
      </c>
      <c r="J66" s="133">
        <f t="shared" si="319"/>
        <v>29385.525221521228</v>
      </c>
      <c r="K66" s="133">
        <f t="shared" si="319"/>
        <v>29096.916292176626</v>
      </c>
      <c r="L66" s="133">
        <f t="shared" si="319"/>
        <v>28808.307362832027</v>
      </c>
      <c r="M66" s="133">
        <f t="shared" si="319"/>
        <v>28291.35673733634</v>
      </c>
      <c r="N66" s="133">
        <f t="shared" si="319"/>
        <v>27774.406111840653</v>
      </c>
      <c r="O66" s="133">
        <f t="shared" si="319"/>
        <v>27257.455486344963</v>
      </c>
      <c r="P66" s="133">
        <f t="shared" si="319"/>
        <v>26740.504860849276</v>
      </c>
      <c r="Q66" s="133">
        <f t="shared" si="319"/>
        <v>26223.554235353578</v>
      </c>
      <c r="R66" s="133">
        <f t="shared" si="319"/>
        <v>26054.272294827104</v>
      </c>
      <c r="S66" s="133">
        <f t="shared" si="319"/>
        <v>25884.990354300633</v>
      </c>
      <c r="T66" s="133">
        <f t="shared" si="319"/>
        <v>25715.708413774159</v>
      </c>
      <c r="U66" s="133">
        <f t="shared" si="319"/>
        <v>25546.426473247688</v>
      </c>
      <c r="V66" s="133">
        <f t="shared" si="319"/>
        <v>25377.14453272121</v>
      </c>
      <c r="W66" s="133">
        <f t="shared" si="319"/>
        <v>25276.236093573778</v>
      </c>
      <c r="X66" s="133">
        <f t="shared" si="319"/>
        <v>25175.327654426343</v>
      </c>
      <c r="Y66" s="133">
        <f t="shared" si="319"/>
        <v>25074.419215278911</v>
      </c>
      <c r="Z66" s="133">
        <f t="shared" si="319"/>
        <v>24973.510776131476</v>
      </c>
      <c r="AA66" s="133">
        <f t="shared" si="319"/>
        <v>24872.60233698403</v>
      </c>
      <c r="AB66" s="133">
        <f t="shared" si="319"/>
        <v>24726.688387040245</v>
      </c>
      <c r="AC66" s="133">
        <f t="shared" si="319"/>
        <v>24580.774437096457</v>
      </c>
      <c r="AD66" s="133">
        <f t="shared" si="319"/>
        <v>24434.86048715267</v>
      </c>
      <c r="AE66" s="133">
        <f t="shared" si="319"/>
        <v>24288.946537208882</v>
      </c>
      <c r="AF66" s="133">
        <f t="shared" si="319"/>
        <v>24143.032587265094</v>
      </c>
      <c r="AG66" s="161">
        <f t="shared" si="323"/>
        <v>0.76319057331563145</v>
      </c>
      <c r="AH66" s="161">
        <f t="shared" si="324"/>
        <v>0.76319108286196902</v>
      </c>
      <c r="AI66" s="161">
        <f t="shared" si="325"/>
        <v>0.76319155650261994</v>
      </c>
      <c r="AJ66" s="161">
        <f t="shared" si="326"/>
        <v>0.76319199790361358</v>
      </c>
      <c r="AK66" s="161">
        <f t="shared" si="327"/>
        <v>0.76319241024832907</v>
      </c>
      <c r="AL66" s="66">
        <v>0.7631927963143933</v>
      </c>
      <c r="AM66" s="66">
        <v>0.7631927963143933</v>
      </c>
      <c r="AN66" s="66">
        <v>0.7631927963143933</v>
      </c>
      <c r="AO66" s="66">
        <v>0.7631927963143933</v>
      </c>
      <c r="AP66" s="66">
        <v>0.7631927963143933</v>
      </c>
      <c r="AQ66" s="66">
        <v>0.76319279631439352</v>
      </c>
      <c r="AR66" s="66">
        <v>0.76319279631439352</v>
      </c>
      <c r="AS66" s="66">
        <v>0.76319279631439352</v>
      </c>
      <c r="AT66" s="66">
        <v>0.76319279631439352</v>
      </c>
      <c r="AU66" s="66">
        <v>0.76319279631439352</v>
      </c>
      <c r="AV66" s="66">
        <v>0.76319279631439352</v>
      </c>
      <c r="AW66" s="66">
        <v>0.76319279631439352</v>
      </c>
      <c r="AX66" s="66">
        <v>0.76319279631439352</v>
      </c>
      <c r="AY66" s="66">
        <v>0.76319279631439352</v>
      </c>
      <c r="AZ66" s="66">
        <v>0.76319279631439352</v>
      </c>
      <c r="BA66" s="66">
        <v>0.76319279631439352</v>
      </c>
      <c r="BB66" s="66">
        <v>0.76319279631439352</v>
      </c>
      <c r="BC66" s="66">
        <v>0.76319279631439352</v>
      </c>
      <c r="BD66" s="66">
        <v>0.76319279631439352</v>
      </c>
      <c r="BE66" s="66">
        <v>0.76319279631439352</v>
      </c>
      <c r="BF66" s="68">
        <v>0.76319279631439352</v>
      </c>
      <c r="BG66" s="68">
        <v>0.76319279631439352</v>
      </c>
      <c r="BH66" s="68">
        <v>0.76319279631439352</v>
      </c>
      <c r="BI66" s="68">
        <v>0.76319279631439352</v>
      </c>
      <c r="BJ66" s="68">
        <v>0.76319279631439352</v>
      </c>
      <c r="BK66" s="68">
        <v>0.76319279631439352</v>
      </c>
    </row>
    <row r="68" spans="1:63" x14ac:dyDescent="0.35">
      <c r="AJ68" s="71"/>
    </row>
    <row r="69" spans="1:63" x14ac:dyDescent="0.35">
      <c r="A69" t="s">
        <v>52</v>
      </c>
      <c r="B69" t="s">
        <v>16</v>
      </c>
      <c r="C69" t="s">
        <v>17</v>
      </c>
      <c r="D69" t="s">
        <v>18</v>
      </c>
      <c r="E69" t="s">
        <v>19</v>
      </c>
      <c r="F69" t="s">
        <v>20</v>
      </c>
      <c r="G69" t="s">
        <v>21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t="s">
        <v>37</v>
      </c>
      <c r="N69" t="s">
        <v>54</v>
      </c>
      <c r="O69" t="s">
        <v>55</v>
      </c>
      <c r="P69" t="s">
        <v>56</v>
      </c>
      <c r="Q69" t="s">
        <v>57</v>
      </c>
      <c r="R69" t="s">
        <v>58</v>
      </c>
      <c r="S69" t="s">
        <v>59</v>
      </c>
      <c r="T69" t="s">
        <v>60</v>
      </c>
      <c r="U69" t="s">
        <v>61</v>
      </c>
      <c r="V69" t="s">
        <v>62</v>
      </c>
      <c r="W69" t="s">
        <v>85</v>
      </c>
      <c r="X69" t="s">
        <v>86</v>
      </c>
      <c r="Y69" t="s">
        <v>87</v>
      </c>
      <c r="Z69" t="s">
        <v>88</v>
      </c>
      <c r="AA69" t="s">
        <v>89</v>
      </c>
      <c r="AB69" t="s">
        <v>126</v>
      </c>
      <c r="AC69" t="s">
        <v>127</v>
      </c>
      <c r="AD69" t="s">
        <v>128</v>
      </c>
      <c r="AE69" t="s">
        <v>129</v>
      </c>
      <c r="AF69" t="s">
        <v>118</v>
      </c>
      <c r="AJ69" s="170"/>
    </row>
    <row r="70" spans="1:63" x14ac:dyDescent="0.35">
      <c r="A70" t="s">
        <v>53</v>
      </c>
      <c r="B70">
        <f>B56</f>
        <v>342052.6</v>
      </c>
      <c r="C70">
        <f t="shared" ref="C70:AF70" si="329">C56</f>
        <v>342052.6</v>
      </c>
      <c r="D70">
        <f t="shared" si="329"/>
        <v>342052.6</v>
      </c>
      <c r="E70">
        <f t="shared" si="329"/>
        <v>342052.6</v>
      </c>
      <c r="F70">
        <f t="shared" si="329"/>
        <v>342052.6</v>
      </c>
      <c r="G70">
        <f t="shared" si="329"/>
        <v>342052.6</v>
      </c>
      <c r="H70">
        <f t="shared" si="329"/>
        <v>342052.6</v>
      </c>
      <c r="I70">
        <f t="shared" si="329"/>
        <v>342052.6</v>
      </c>
      <c r="J70">
        <f t="shared" si="329"/>
        <v>342052.6</v>
      </c>
      <c r="K70">
        <f t="shared" si="329"/>
        <v>342052.6</v>
      </c>
      <c r="L70">
        <f t="shared" si="329"/>
        <v>342052.6</v>
      </c>
      <c r="M70">
        <f t="shared" si="329"/>
        <v>342052.59999999992</v>
      </c>
      <c r="N70">
        <f t="shared" si="329"/>
        <v>342052.59999999986</v>
      </c>
      <c r="O70">
        <f t="shared" si="329"/>
        <v>342052.5999999998</v>
      </c>
      <c r="P70">
        <f t="shared" si="329"/>
        <v>342052.59999999974</v>
      </c>
      <c r="Q70">
        <f t="shared" si="329"/>
        <v>342052.59999999974</v>
      </c>
      <c r="R70">
        <f t="shared" si="329"/>
        <v>342052.59999999974</v>
      </c>
      <c r="S70">
        <f t="shared" si="329"/>
        <v>342052.59999999974</v>
      </c>
      <c r="T70">
        <f t="shared" si="329"/>
        <v>342052.59999999974</v>
      </c>
      <c r="U70">
        <f t="shared" si="329"/>
        <v>342052.59999999974</v>
      </c>
      <c r="V70">
        <f t="shared" si="329"/>
        <v>342052.59999999974</v>
      </c>
      <c r="W70">
        <f t="shared" si="329"/>
        <v>342052.59999999974</v>
      </c>
      <c r="X70">
        <f t="shared" si="329"/>
        <v>342052.59999999974</v>
      </c>
      <c r="Y70">
        <f t="shared" si="329"/>
        <v>342052.59999999974</v>
      </c>
      <c r="Z70">
        <f t="shared" si="329"/>
        <v>342052.59999999974</v>
      </c>
      <c r="AA70">
        <f t="shared" si="329"/>
        <v>342052.59999999974</v>
      </c>
      <c r="AB70">
        <f t="shared" si="329"/>
        <v>342052.59999999974</v>
      </c>
      <c r="AC70">
        <f t="shared" si="329"/>
        <v>342052.59999999974</v>
      </c>
      <c r="AD70">
        <f t="shared" si="329"/>
        <v>342052.59999999974</v>
      </c>
      <c r="AE70">
        <f t="shared" si="329"/>
        <v>342052.59999999974</v>
      </c>
      <c r="AF70">
        <f t="shared" si="329"/>
        <v>342052.59999999974</v>
      </c>
      <c r="AJ70" s="170"/>
    </row>
    <row r="71" spans="1:63" x14ac:dyDescent="0.35">
      <c r="A71" t="s">
        <v>32</v>
      </c>
      <c r="B71" s="63">
        <f>B63</f>
        <v>33322.601640000001</v>
      </c>
      <c r="C71" s="63">
        <f t="shared" ref="C71:AF71" si="330">C63</f>
        <v>34585.659285912938</v>
      </c>
      <c r="D71" s="63">
        <f t="shared" si="330"/>
        <v>35848.716931825875</v>
      </c>
      <c r="E71" s="63">
        <f t="shared" si="330"/>
        <v>37111.774577738812</v>
      </c>
      <c r="F71" s="63">
        <f t="shared" si="330"/>
        <v>38374.832223651749</v>
      </c>
      <c r="G71" s="63">
        <f t="shared" si="330"/>
        <v>39637.889869564686</v>
      </c>
      <c r="H71" s="63">
        <f t="shared" si="330"/>
        <v>39259.729946228996</v>
      </c>
      <c r="I71" s="63">
        <f t="shared" si="330"/>
        <v>38881.570022893306</v>
      </c>
      <c r="J71" s="63">
        <f t="shared" si="330"/>
        <v>38503.410099557615</v>
      </c>
      <c r="K71" s="63">
        <f t="shared" si="330"/>
        <v>38125.250176221925</v>
      </c>
      <c r="L71" s="63">
        <f t="shared" si="330"/>
        <v>37747.090252886228</v>
      </c>
      <c r="M71" s="63">
        <f t="shared" si="330"/>
        <v>37069.737652085823</v>
      </c>
      <c r="N71" s="63">
        <f t="shared" si="330"/>
        <v>36392.385051285419</v>
      </c>
      <c r="O71" s="63">
        <f t="shared" si="330"/>
        <v>35715.032450485014</v>
      </c>
      <c r="P71" s="63">
        <f t="shared" si="330"/>
        <v>35037.67984968461</v>
      </c>
      <c r="Q71" s="63">
        <f t="shared" si="330"/>
        <v>34360.32724888419</v>
      </c>
      <c r="R71" s="63">
        <f t="shared" si="330"/>
        <v>34138.519677659766</v>
      </c>
      <c r="S71" s="63">
        <f t="shared" si="330"/>
        <v>33916.712106435341</v>
      </c>
      <c r="T71" s="63">
        <f t="shared" si="330"/>
        <v>33694.904535210917</v>
      </c>
      <c r="U71" s="63">
        <f t="shared" si="330"/>
        <v>33473.096963986492</v>
      </c>
      <c r="V71" s="63">
        <f t="shared" si="330"/>
        <v>33251.289392762061</v>
      </c>
      <c r="W71" s="63">
        <f t="shared" si="330"/>
        <v>33119.070588241448</v>
      </c>
      <c r="X71" s="63">
        <f t="shared" si="330"/>
        <v>32986.851783720835</v>
      </c>
      <c r="Y71" s="63">
        <f t="shared" si="330"/>
        <v>32854.632979200222</v>
      </c>
      <c r="Z71" s="63">
        <f t="shared" si="330"/>
        <v>32722.414174679605</v>
      </c>
      <c r="AA71" s="63">
        <f t="shared" si="330"/>
        <v>32590.195370158977</v>
      </c>
      <c r="AB71" s="63">
        <f t="shared" si="330"/>
        <v>32399.006524236382</v>
      </c>
      <c r="AC71" s="63">
        <f t="shared" si="330"/>
        <v>32207.817678313786</v>
      </c>
      <c r="AD71" s="63">
        <f t="shared" si="330"/>
        <v>32016.62883239119</v>
      </c>
      <c r="AE71" s="63">
        <f t="shared" si="330"/>
        <v>31825.439986468595</v>
      </c>
      <c r="AF71" s="63">
        <f t="shared" si="330"/>
        <v>31634.251140545999</v>
      </c>
      <c r="AJ71" s="170"/>
    </row>
    <row r="72" spans="1:63" x14ac:dyDescent="0.35">
      <c r="A72" t="s">
        <v>6</v>
      </c>
      <c r="B72" s="63">
        <f>B23</f>
        <v>336996.20653999998</v>
      </c>
      <c r="C72" s="63">
        <f t="shared" ref="C72:AE72" si="331">C23</f>
        <v>350518.87592276727</v>
      </c>
      <c r="D72" s="63">
        <f t="shared" si="331"/>
        <v>364041.54530553456</v>
      </c>
      <c r="E72" s="63">
        <f t="shared" si="331"/>
        <v>377564.21468830184</v>
      </c>
      <c r="F72" s="63">
        <f t="shared" si="331"/>
        <v>391086.88407106913</v>
      </c>
      <c r="G72" s="63">
        <f t="shared" si="331"/>
        <v>404609.55345383642</v>
      </c>
      <c r="H72" s="63">
        <f t="shared" si="331"/>
        <v>397162.89661415468</v>
      </c>
      <c r="I72" s="63">
        <f t="shared" si="331"/>
        <v>389716.23977447295</v>
      </c>
      <c r="J72" s="63">
        <f t="shared" si="331"/>
        <v>382269.58293479122</v>
      </c>
      <c r="K72" s="63">
        <f t="shared" si="331"/>
        <v>374822.92609510949</v>
      </c>
      <c r="L72" s="63">
        <f t="shared" si="331"/>
        <v>367376.26925542764</v>
      </c>
      <c r="M72" s="63">
        <f t="shared" si="331"/>
        <v>362849.88585341902</v>
      </c>
      <c r="N72" s="63">
        <f t="shared" si="331"/>
        <v>358323.5024514104</v>
      </c>
      <c r="O72" s="63">
        <f t="shared" si="331"/>
        <v>353797.11904940178</v>
      </c>
      <c r="P72" s="63">
        <f t="shared" si="331"/>
        <v>349270.73564739316</v>
      </c>
      <c r="Q72" s="63">
        <f t="shared" si="331"/>
        <v>344744.35224538465</v>
      </c>
      <c r="R72" s="63">
        <f t="shared" si="331"/>
        <v>339041.01782111067</v>
      </c>
      <c r="S72" s="63">
        <f t="shared" si="331"/>
        <v>333337.68339683668</v>
      </c>
      <c r="T72" s="63">
        <f t="shared" si="331"/>
        <v>327634.3489725627</v>
      </c>
      <c r="U72" s="63">
        <f t="shared" si="331"/>
        <v>321931.01454828872</v>
      </c>
      <c r="V72" s="63">
        <f t="shared" si="331"/>
        <v>316227.68012401467</v>
      </c>
      <c r="W72" s="63">
        <f t="shared" si="331"/>
        <v>311445.94841352111</v>
      </c>
      <c r="X72" s="63">
        <f t="shared" si="331"/>
        <v>306664.21670302755</v>
      </c>
      <c r="Y72" s="63">
        <f t="shared" si="331"/>
        <v>301882.48499253398</v>
      </c>
      <c r="Z72" s="63">
        <f t="shared" si="331"/>
        <v>297100.75328204042</v>
      </c>
      <c r="AA72" s="63">
        <f t="shared" si="331"/>
        <v>292319.02157154679</v>
      </c>
      <c r="AB72" s="63">
        <f t="shared" si="331"/>
        <v>290092.72526839352</v>
      </c>
      <c r="AC72" s="63">
        <f t="shared" si="331"/>
        <v>287866.42896524025</v>
      </c>
      <c r="AD72" s="63">
        <f t="shared" si="331"/>
        <v>285640.13266208698</v>
      </c>
      <c r="AE72" s="63">
        <f t="shared" si="331"/>
        <v>283413.83635893371</v>
      </c>
      <c r="AF72" s="63">
        <f>AF23</f>
        <v>281187.54005578056</v>
      </c>
      <c r="AJ72" s="170"/>
    </row>
    <row r="73" spans="1:63" x14ac:dyDescent="0.35">
      <c r="A73" t="s">
        <v>5</v>
      </c>
      <c r="B73" s="63">
        <f>B15</f>
        <v>272762.75125000003</v>
      </c>
      <c r="C73" s="63">
        <f t="shared" ref="C73:AF73" si="332">C15</f>
        <v>276354.15161996341</v>
      </c>
      <c r="D73" s="63">
        <f t="shared" si="332"/>
        <v>279945.55198992678</v>
      </c>
      <c r="E73" s="63">
        <f t="shared" si="332"/>
        <v>283536.95235989016</v>
      </c>
      <c r="F73" s="63">
        <f t="shared" si="332"/>
        <v>287128.35272985353</v>
      </c>
      <c r="G73" s="63">
        <f t="shared" si="332"/>
        <v>290719.75309981685</v>
      </c>
      <c r="H73" s="63">
        <f t="shared" si="332"/>
        <v>288562.06589943968</v>
      </c>
      <c r="I73" s="63">
        <f t="shared" si="332"/>
        <v>286404.37869906251</v>
      </c>
      <c r="J73" s="63">
        <f t="shared" si="332"/>
        <v>284246.69149868534</v>
      </c>
      <c r="K73" s="63">
        <f t="shared" si="332"/>
        <v>282089.00429830817</v>
      </c>
      <c r="L73" s="63">
        <f t="shared" si="332"/>
        <v>279931.31709793111</v>
      </c>
      <c r="M73" s="63">
        <f t="shared" si="332"/>
        <v>276555.98091582919</v>
      </c>
      <c r="N73" s="63">
        <f t="shared" si="332"/>
        <v>273180.64473372727</v>
      </c>
      <c r="O73" s="63">
        <f t="shared" si="332"/>
        <v>269805.30855162535</v>
      </c>
      <c r="P73" s="63">
        <f t="shared" si="332"/>
        <v>266429.97236952343</v>
      </c>
      <c r="Q73" s="63">
        <f t="shared" si="332"/>
        <v>263054.63618742139</v>
      </c>
      <c r="R73" s="63">
        <f t="shared" si="332"/>
        <v>260629.65205922737</v>
      </c>
      <c r="S73" s="63">
        <f t="shared" si="332"/>
        <v>258204.66793103336</v>
      </c>
      <c r="T73" s="63">
        <f t="shared" si="332"/>
        <v>255779.68380283934</v>
      </c>
      <c r="U73" s="63">
        <f t="shared" si="332"/>
        <v>253354.69967464532</v>
      </c>
      <c r="V73" s="63">
        <f t="shared" si="332"/>
        <v>250929.71554645128</v>
      </c>
      <c r="W73" s="63">
        <f t="shared" si="332"/>
        <v>249227.8935366779</v>
      </c>
      <c r="X73" s="63">
        <f t="shared" si="332"/>
        <v>247526.07152690453</v>
      </c>
      <c r="Y73" s="63">
        <f t="shared" si="332"/>
        <v>245824.24951713116</v>
      </c>
      <c r="Z73" s="63">
        <f t="shared" si="332"/>
        <v>244122.42750735779</v>
      </c>
      <c r="AA73" s="63">
        <f t="shared" si="332"/>
        <v>242420.60549758436</v>
      </c>
      <c r="AB73" s="63">
        <f t="shared" si="332"/>
        <v>244596.7463551907</v>
      </c>
      <c r="AC73" s="63">
        <f t="shared" si="332"/>
        <v>246772.88721279704</v>
      </c>
      <c r="AD73" s="63">
        <f t="shared" si="332"/>
        <v>248949.02807040338</v>
      </c>
      <c r="AE73" s="63">
        <f t="shared" si="332"/>
        <v>251125.16892800972</v>
      </c>
      <c r="AF73" s="63">
        <f t="shared" si="332"/>
        <v>253301.30978561606</v>
      </c>
      <c r="AJ73" s="170"/>
    </row>
    <row r="74" spans="1:63" x14ac:dyDescent="0.35">
      <c r="A74" t="s">
        <v>4</v>
      </c>
      <c r="B74" s="63">
        <f>B8</f>
        <v>356529.17533000006</v>
      </c>
      <c r="C74" s="63">
        <f t="shared" ref="C74:AF74" si="333">C8</f>
        <v>354089.40575045662</v>
      </c>
      <c r="D74" s="63">
        <f t="shared" si="333"/>
        <v>351649.63617091317</v>
      </c>
      <c r="E74" s="63">
        <f t="shared" si="333"/>
        <v>349209.86659136973</v>
      </c>
      <c r="F74" s="63">
        <f t="shared" si="333"/>
        <v>346770.09701182629</v>
      </c>
      <c r="G74" s="63">
        <f t="shared" si="333"/>
        <v>344330.32743228285</v>
      </c>
      <c r="H74" s="63">
        <f t="shared" si="333"/>
        <v>339718.28746985708</v>
      </c>
      <c r="I74" s="63">
        <f t="shared" si="333"/>
        <v>335106.24750743131</v>
      </c>
      <c r="J74" s="63">
        <f t="shared" si="333"/>
        <v>330494.20754500554</v>
      </c>
      <c r="K74" s="63">
        <f t="shared" si="333"/>
        <v>325882.16758257977</v>
      </c>
      <c r="L74" s="63">
        <f t="shared" si="333"/>
        <v>321270.12762015389</v>
      </c>
      <c r="M74" s="63">
        <f t="shared" si="333"/>
        <v>319038.39765113703</v>
      </c>
      <c r="N74" s="63">
        <f t="shared" si="333"/>
        <v>316806.66768212017</v>
      </c>
      <c r="O74" s="63">
        <f t="shared" si="333"/>
        <v>314574.93771310331</v>
      </c>
      <c r="P74" s="63">
        <f t="shared" si="333"/>
        <v>312343.20774408645</v>
      </c>
      <c r="Q74" s="63">
        <f t="shared" si="333"/>
        <v>310111.47777506959</v>
      </c>
      <c r="R74" s="63">
        <f t="shared" si="333"/>
        <v>307655.50678473111</v>
      </c>
      <c r="S74" s="63">
        <f t="shared" si="333"/>
        <v>305199.53579439264</v>
      </c>
      <c r="T74" s="63">
        <f t="shared" si="333"/>
        <v>302743.56480405416</v>
      </c>
      <c r="U74" s="63">
        <f t="shared" si="333"/>
        <v>300287.59381371568</v>
      </c>
      <c r="V74" s="63">
        <f t="shared" si="333"/>
        <v>297831.6228233772</v>
      </c>
      <c r="W74" s="63">
        <f t="shared" si="333"/>
        <v>295253.191391712</v>
      </c>
      <c r="X74" s="63">
        <f t="shared" si="333"/>
        <v>292674.75996004679</v>
      </c>
      <c r="Y74" s="63">
        <f t="shared" si="333"/>
        <v>290096.32852838159</v>
      </c>
      <c r="Z74" s="63">
        <f t="shared" si="333"/>
        <v>287517.89709671639</v>
      </c>
      <c r="AA74" s="63">
        <f t="shared" si="333"/>
        <v>284939.46566505113</v>
      </c>
      <c r="AB74" s="63">
        <f t="shared" si="333"/>
        <v>282321.84974926914</v>
      </c>
      <c r="AC74" s="63">
        <f t="shared" si="333"/>
        <v>279704.23383348715</v>
      </c>
      <c r="AD74" s="63">
        <f t="shared" si="333"/>
        <v>277086.61791770515</v>
      </c>
      <c r="AE74" s="63">
        <f t="shared" si="333"/>
        <v>274469.00200192316</v>
      </c>
      <c r="AF74" s="63">
        <f t="shared" si="333"/>
        <v>271851.38608614117</v>
      </c>
      <c r="AJ74" s="70"/>
    </row>
    <row r="75" spans="1:63" x14ac:dyDescent="0.35">
      <c r="A75" t="s">
        <v>31</v>
      </c>
      <c r="B75" s="63">
        <f>B49</f>
        <v>192564.53910000002</v>
      </c>
      <c r="C75" s="63">
        <f t="shared" ref="C75:AE75" si="334">C49</f>
        <v>194986.62032385284</v>
      </c>
      <c r="D75" s="63">
        <f t="shared" si="334"/>
        <v>197408.70154770566</v>
      </c>
      <c r="E75" s="63">
        <f t="shared" si="334"/>
        <v>199830.78277155847</v>
      </c>
      <c r="F75" s="63">
        <f t="shared" si="334"/>
        <v>202252.86399541129</v>
      </c>
      <c r="G75" s="63">
        <f t="shared" si="334"/>
        <v>204674.94521926413</v>
      </c>
      <c r="H75" s="63">
        <f t="shared" si="334"/>
        <v>202722.27160703222</v>
      </c>
      <c r="I75" s="63">
        <f t="shared" si="334"/>
        <v>200769.59799480031</v>
      </c>
      <c r="J75" s="63">
        <f t="shared" si="334"/>
        <v>198816.9243825684</v>
      </c>
      <c r="K75" s="63">
        <f t="shared" si="334"/>
        <v>196864.25077033648</v>
      </c>
      <c r="L75" s="63">
        <f t="shared" si="334"/>
        <v>194911.57715810454</v>
      </c>
      <c r="M75" s="63">
        <f t="shared" si="334"/>
        <v>191413.98667286028</v>
      </c>
      <c r="N75" s="63">
        <f t="shared" si="334"/>
        <v>187916.39618761602</v>
      </c>
      <c r="O75" s="63">
        <f t="shared" si="334"/>
        <v>184418.80570237176</v>
      </c>
      <c r="P75" s="63">
        <f t="shared" si="334"/>
        <v>180921.21521712749</v>
      </c>
      <c r="Q75" s="63">
        <f t="shared" si="334"/>
        <v>177423.62473188323</v>
      </c>
      <c r="R75" s="63">
        <f t="shared" si="334"/>
        <v>176278.29503247267</v>
      </c>
      <c r="S75" s="63">
        <f t="shared" si="334"/>
        <v>175132.96533306211</v>
      </c>
      <c r="T75" s="63">
        <f t="shared" si="334"/>
        <v>173987.63563365155</v>
      </c>
      <c r="U75" s="63">
        <f t="shared" si="334"/>
        <v>172842.30593424098</v>
      </c>
      <c r="V75" s="63">
        <f t="shared" si="334"/>
        <v>171696.97623483045</v>
      </c>
      <c r="W75" s="63">
        <f t="shared" si="334"/>
        <v>171014.24875712502</v>
      </c>
      <c r="X75" s="63">
        <f t="shared" si="334"/>
        <v>170331.5212794196</v>
      </c>
      <c r="Y75" s="63">
        <f t="shared" si="334"/>
        <v>169648.79380171417</v>
      </c>
      <c r="Z75" s="63">
        <f t="shared" si="334"/>
        <v>168966.06632400875</v>
      </c>
      <c r="AA75" s="63">
        <f t="shared" si="334"/>
        <v>168283.33884630326</v>
      </c>
      <c r="AB75" s="63">
        <f t="shared" si="334"/>
        <v>167296.11256623358</v>
      </c>
      <c r="AC75" s="63">
        <f t="shared" si="334"/>
        <v>166308.88628616391</v>
      </c>
      <c r="AD75" s="63">
        <f t="shared" si="334"/>
        <v>165321.66000609423</v>
      </c>
      <c r="AE75" s="63">
        <f t="shared" si="334"/>
        <v>164334.43372602455</v>
      </c>
      <c r="AF75" s="63">
        <f>AF49</f>
        <v>163347.2074459549</v>
      </c>
      <c r="AJ75" s="71"/>
    </row>
    <row r="76" spans="1:63" x14ac:dyDescent="0.35">
      <c r="AJ76" s="70"/>
    </row>
    <row r="77" spans="1:63" x14ac:dyDescent="0.35">
      <c r="A77" s="39" t="s">
        <v>63</v>
      </c>
      <c r="B77" t="s">
        <v>53</v>
      </c>
      <c r="C77" t="s">
        <v>32</v>
      </c>
      <c r="D77" t="s">
        <v>6</v>
      </c>
      <c r="E77" t="s">
        <v>5</v>
      </c>
      <c r="F77" t="s">
        <v>4</v>
      </c>
      <c r="G77" t="s">
        <v>31</v>
      </c>
      <c r="AJ77" s="70"/>
    </row>
    <row r="78" spans="1:63" x14ac:dyDescent="0.35">
      <c r="A78">
        <v>2020</v>
      </c>
      <c r="B78">
        <v>342052.6</v>
      </c>
      <c r="C78">
        <v>33322.601640000001</v>
      </c>
      <c r="D78">
        <v>336996.20653999998</v>
      </c>
      <c r="E78">
        <v>272762.75125000003</v>
      </c>
      <c r="F78">
        <v>356529.17533000006</v>
      </c>
      <c r="G78">
        <v>192564.53910000002</v>
      </c>
      <c r="AJ78" s="70"/>
    </row>
    <row r="79" spans="1:63" x14ac:dyDescent="0.35">
      <c r="A79">
        <v>2021</v>
      </c>
      <c r="B79">
        <v>342052.6</v>
      </c>
      <c r="C79">
        <v>34585.659285912938</v>
      </c>
      <c r="D79">
        <v>350518.87592276727</v>
      </c>
      <c r="E79">
        <v>276354.15161996341</v>
      </c>
      <c r="F79">
        <v>354089.40575045662</v>
      </c>
      <c r="G79">
        <v>194986.62032385284</v>
      </c>
      <c r="AJ79" s="70"/>
    </row>
    <row r="80" spans="1:63" x14ac:dyDescent="0.35">
      <c r="A80">
        <v>2022</v>
      </c>
      <c r="B80">
        <v>342052.6</v>
      </c>
      <c r="C80">
        <v>35848.716931825875</v>
      </c>
      <c r="D80">
        <v>364041.54530553456</v>
      </c>
      <c r="E80">
        <v>279945.55198992678</v>
      </c>
      <c r="F80">
        <v>351649.63617091317</v>
      </c>
      <c r="G80">
        <v>197408.70154770566</v>
      </c>
      <c r="AJ80" s="70"/>
    </row>
    <row r="81" spans="1:36" x14ac:dyDescent="0.35">
      <c r="A81">
        <v>2023</v>
      </c>
      <c r="B81">
        <v>342052.6</v>
      </c>
      <c r="C81">
        <v>37111.774577738812</v>
      </c>
      <c r="D81">
        <v>377564.21468830184</v>
      </c>
      <c r="E81">
        <v>283536.95235989016</v>
      </c>
      <c r="F81">
        <v>349209.86659136973</v>
      </c>
      <c r="G81">
        <v>199830.78277155847</v>
      </c>
      <c r="AJ81" s="70"/>
    </row>
    <row r="82" spans="1:36" x14ac:dyDescent="0.35">
      <c r="A82">
        <v>2024</v>
      </c>
      <c r="B82">
        <v>342052.6</v>
      </c>
      <c r="C82">
        <v>38374.832223651749</v>
      </c>
      <c r="D82">
        <v>391086.88407106913</v>
      </c>
      <c r="E82">
        <v>287128.35272985353</v>
      </c>
      <c r="F82">
        <v>346770.09701182629</v>
      </c>
      <c r="G82">
        <v>202252.86399541129</v>
      </c>
      <c r="AJ82" s="170"/>
    </row>
    <row r="83" spans="1:36" x14ac:dyDescent="0.35">
      <c r="A83">
        <v>2025</v>
      </c>
      <c r="B83">
        <v>342052.6</v>
      </c>
      <c r="C83">
        <v>39637.889869564686</v>
      </c>
      <c r="D83">
        <v>404609.55345383642</v>
      </c>
      <c r="E83">
        <v>290719.75309981685</v>
      </c>
      <c r="F83">
        <v>344330.32743228285</v>
      </c>
      <c r="G83">
        <v>204674.94521926413</v>
      </c>
      <c r="AJ83" s="170"/>
    </row>
    <row r="84" spans="1:36" x14ac:dyDescent="0.35">
      <c r="A84">
        <v>2026</v>
      </c>
      <c r="B84">
        <v>342052.6</v>
      </c>
      <c r="C84">
        <v>39259.729946228996</v>
      </c>
      <c r="D84">
        <v>397162.89661415468</v>
      </c>
      <c r="E84">
        <v>288562.06589943968</v>
      </c>
      <c r="F84">
        <v>339718.28746985708</v>
      </c>
      <c r="G84">
        <v>202722.27160703222</v>
      </c>
      <c r="AJ84" s="170"/>
    </row>
    <row r="85" spans="1:36" x14ac:dyDescent="0.35">
      <c r="A85">
        <v>2027</v>
      </c>
      <c r="B85">
        <v>342052.6</v>
      </c>
      <c r="C85">
        <v>38881.570022893306</v>
      </c>
      <c r="D85">
        <v>389716.23977447295</v>
      </c>
      <c r="E85">
        <v>286404.37869906251</v>
      </c>
      <c r="F85">
        <v>335106.24750743131</v>
      </c>
      <c r="G85">
        <v>200769.59799480031</v>
      </c>
      <c r="AJ85" s="170"/>
    </row>
    <row r="86" spans="1:36" x14ac:dyDescent="0.35">
      <c r="A86">
        <v>2028</v>
      </c>
      <c r="B86">
        <v>342052.6</v>
      </c>
      <c r="C86">
        <v>38503.410099557615</v>
      </c>
      <c r="D86">
        <v>382269.58293479122</v>
      </c>
      <c r="E86">
        <v>284246.69149868534</v>
      </c>
      <c r="F86">
        <v>330494.20754500554</v>
      </c>
      <c r="G86">
        <v>198816.9243825684</v>
      </c>
      <c r="AJ86" s="170"/>
    </row>
    <row r="87" spans="1:36" x14ac:dyDescent="0.35">
      <c r="A87">
        <v>2029</v>
      </c>
      <c r="B87">
        <v>342052.6</v>
      </c>
      <c r="C87">
        <v>38125.250176221925</v>
      </c>
      <c r="D87">
        <v>374822.92609510949</v>
      </c>
      <c r="E87">
        <v>282089.00429830817</v>
      </c>
      <c r="F87">
        <v>325882.16758257977</v>
      </c>
      <c r="G87">
        <v>196864.25077033648</v>
      </c>
      <c r="AJ87" s="170"/>
    </row>
    <row r="88" spans="1:36" x14ac:dyDescent="0.35">
      <c r="A88">
        <v>2030</v>
      </c>
      <c r="B88">
        <v>342052.6</v>
      </c>
      <c r="C88">
        <v>37747.090252886228</v>
      </c>
      <c r="D88">
        <v>367376.26925542764</v>
      </c>
      <c r="E88">
        <v>279931.31709793111</v>
      </c>
      <c r="F88">
        <v>321270.12762015389</v>
      </c>
      <c r="G88">
        <v>194911.57715810454</v>
      </c>
    </row>
    <row r="89" spans="1:36" x14ac:dyDescent="0.35">
      <c r="A89">
        <v>2031</v>
      </c>
      <c r="B89">
        <v>342052.59999999992</v>
      </c>
      <c r="C89">
        <v>37069.737652085823</v>
      </c>
      <c r="D89">
        <v>362849.88585341902</v>
      </c>
      <c r="E89">
        <v>276555.98091582919</v>
      </c>
      <c r="F89">
        <v>319038.39765113703</v>
      </c>
      <c r="G89">
        <v>191413.98667286028</v>
      </c>
    </row>
    <row r="90" spans="1:36" x14ac:dyDescent="0.35">
      <c r="A90">
        <v>2032</v>
      </c>
      <c r="B90">
        <v>342052.59999999986</v>
      </c>
      <c r="C90">
        <v>36392.385051285419</v>
      </c>
      <c r="D90">
        <v>358323.5024514104</v>
      </c>
      <c r="E90">
        <v>273180.64473372727</v>
      </c>
      <c r="F90">
        <v>316806.66768212017</v>
      </c>
      <c r="G90">
        <v>187916.39618761602</v>
      </c>
    </row>
    <row r="91" spans="1:36" x14ac:dyDescent="0.35">
      <c r="A91">
        <v>2033</v>
      </c>
      <c r="B91">
        <v>342052.5999999998</v>
      </c>
      <c r="C91">
        <v>35715.032450485014</v>
      </c>
      <c r="D91">
        <v>353797.11904940178</v>
      </c>
      <c r="E91">
        <v>269805.30855162535</v>
      </c>
      <c r="F91">
        <v>314574.93771310331</v>
      </c>
      <c r="G91">
        <v>184418.80570237176</v>
      </c>
    </row>
    <row r="92" spans="1:36" x14ac:dyDescent="0.35">
      <c r="A92">
        <v>2034</v>
      </c>
      <c r="B92">
        <v>342052.59999999974</v>
      </c>
      <c r="C92">
        <v>35037.67984968461</v>
      </c>
      <c r="D92">
        <v>349270.73564739316</v>
      </c>
      <c r="E92">
        <v>266429.97236952343</v>
      </c>
      <c r="F92">
        <v>312343.20774408645</v>
      </c>
      <c r="G92">
        <v>180921.21521712749</v>
      </c>
    </row>
    <row r="93" spans="1:36" x14ac:dyDescent="0.35">
      <c r="A93">
        <v>2035</v>
      </c>
      <c r="B93">
        <v>342052.59999999974</v>
      </c>
      <c r="C93">
        <v>34360.32724888419</v>
      </c>
      <c r="D93">
        <v>344744.35224538465</v>
      </c>
      <c r="E93">
        <v>263054.63618742139</v>
      </c>
      <c r="F93">
        <v>310111.47777506959</v>
      </c>
      <c r="G93">
        <v>177423.62473188323</v>
      </c>
    </row>
    <row r="94" spans="1:36" x14ac:dyDescent="0.35">
      <c r="A94">
        <v>2036</v>
      </c>
      <c r="B94">
        <v>342052.59999999974</v>
      </c>
      <c r="C94">
        <v>34138.519677659766</v>
      </c>
      <c r="D94">
        <v>339041.01782111067</v>
      </c>
      <c r="E94">
        <v>260629.65205922737</v>
      </c>
      <c r="F94">
        <v>307655.50678473111</v>
      </c>
      <c r="G94">
        <v>176278.29503247267</v>
      </c>
    </row>
    <row r="95" spans="1:36" x14ac:dyDescent="0.35">
      <c r="A95">
        <v>2037</v>
      </c>
      <c r="B95">
        <v>342052.59999999974</v>
      </c>
      <c r="C95">
        <v>33916.712106435341</v>
      </c>
      <c r="D95">
        <v>333337.68339683668</v>
      </c>
      <c r="E95">
        <v>258204.66793103336</v>
      </c>
      <c r="F95">
        <v>305199.53579439264</v>
      </c>
      <c r="G95">
        <v>175132.96533306211</v>
      </c>
    </row>
    <row r="96" spans="1:36" x14ac:dyDescent="0.35">
      <c r="A96">
        <v>2038</v>
      </c>
      <c r="B96">
        <v>342052.59999999974</v>
      </c>
      <c r="C96">
        <v>33694.904535210917</v>
      </c>
      <c r="D96">
        <v>327634.3489725627</v>
      </c>
      <c r="E96">
        <v>255779.68380283934</v>
      </c>
      <c r="F96">
        <v>302743.56480405416</v>
      </c>
      <c r="G96">
        <v>173987.63563365155</v>
      </c>
    </row>
    <row r="97" spans="1:30" x14ac:dyDescent="0.35">
      <c r="A97">
        <v>2039</v>
      </c>
      <c r="B97">
        <v>342052.59999999974</v>
      </c>
      <c r="C97">
        <v>33473.096963986492</v>
      </c>
      <c r="D97">
        <v>321931.01454828872</v>
      </c>
      <c r="E97">
        <v>253354.69967464532</v>
      </c>
      <c r="F97">
        <v>300287.59381371568</v>
      </c>
      <c r="G97">
        <v>172842.30593424098</v>
      </c>
    </row>
    <row r="98" spans="1:30" x14ac:dyDescent="0.35">
      <c r="A98">
        <v>2040</v>
      </c>
      <c r="B98">
        <v>342052.59999999974</v>
      </c>
      <c r="C98">
        <v>33251.289392762061</v>
      </c>
      <c r="D98">
        <v>316227.68012401467</v>
      </c>
      <c r="E98">
        <v>250929.71554645128</v>
      </c>
      <c r="F98">
        <v>297831.6228233772</v>
      </c>
      <c r="G98">
        <v>171696.97623483045</v>
      </c>
    </row>
    <row r="99" spans="1:30" x14ac:dyDescent="0.35">
      <c r="A99">
        <f>A98+1</f>
        <v>2041</v>
      </c>
      <c r="B99">
        <v>342052.59999999974</v>
      </c>
      <c r="C99">
        <v>33119.070588241448</v>
      </c>
      <c r="D99">
        <v>311445.94841352111</v>
      </c>
      <c r="E99">
        <v>249227.8935366779</v>
      </c>
      <c r="F99">
        <v>295253.191391712</v>
      </c>
      <c r="G99">
        <v>171014.24875712502</v>
      </c>
    </row>
    <row r="100" spans="1:30" x14ac:dyDescent="0.35">
      <c r="A100">
        <f>A99+1</f>
        <v>2042</v>
      </c>
      <c r="B100">
        <v>342052.59999999974</v>
      </c>
      <c r="C100">
        <v>32986.851783720835</v>
      </c>
      <c r="D100">
        <v>306664.21670302755</v>
      </c>
      <c r="E100">
        <v>247526.07152690453</v>
      </c>
      <c r="F100">
        <v>292674.75996004679</v>
      </c>
      <c r="G100">
        <v>170331.5212794196</v>
      </c>
    </row>
    <row r="101" spans="1:30" x14ac:dyDescent="0.35">
      <c r="A101">
        <f>A100+1</f>
        <v>2043</v>
      </c>
      <c r="B101">
        <v>342052.59999999974</v>
      </c>
      <c r="C101">
        <v>32854.632979200222</v>
      </c>
      <c r="D101">
        <v>301882.48499253398</v>
      </c>
      <c r="E101">
        <v>245824.24951713116</v>
      </c>
      <c r="F101">
        <v>290096.32852838159</v>
      </c>
      <c r="G101">
        <v>169648.79380171417</v>
      </c>
    </row>
    <row r="102" spans="1:30" x14ac:dyDescent="0.35">
      <c r="A102">
        <f>A101+1</f>
        <v>2044</v>
      </c>
      <c r="B102">
        <v>342052.59999999974</v>
      </c>
      <c r="C102">
        <v>32722.414174679605</v>
      </c>
      <c r="D102">
        <v>297100.75328204042</v>
      </c>
      <c r="E102">
        <v>244122.42750735779</v>
      </c>
      <c r="F102">
        <v>287517.89709671639</v>
      </c>
      <c r="G102">
        <v>168966.06632400875</v>
      </c>
    </row>
    <row r="103" spans="1:30" x14ac:dyDescent="0.35">
      <c r="A103">
        <f>A102+1</f>
        <v>2045</v>
      </c>
      <c r="B103">
        <v>342052.59999999974</v>
      </c>
      <c r="C103">
        <v>32590.195370158977</v>
      </c>
      <c r="D103">
        <v>292319.02157154679</v>
      </c>
      <c r="E103">
        <v>242420.60549758436</v>
      </c>
      <c r="F103">
        <v>284939.46566505113</v>
      </c>
      <c r="G103">
        <v>168283.33884630326</v>
      </c>
    </row>
    <row r="104" spans="1:30" x14ac:dyDescent="0.35">
      <c r="A104">
        <f t="shared" ref="A104:A107" si="335">A103+1</f>
        <v>2046</v>
      </c>
      <c r="B104">
        <v>342052.59999999974</v>
      </c>
      <c r="C104">
        <v>32399.006524236382</v>
      </c>
      <c r="D104">
        <v>290092.72526839352</v>
      </c>
      <c r="E104">
        <v>244596.7463551907</v>
      </c>
      <c r="F104">
        <v>282321.84974926914</v>
      </c>
      <c r="G104">
        <v>167296.11256623358</v>
      </c>
    </row>
    <row r="105" spans="1:30" x14ac:dyDescent="0.35">
      <c r="A105">
        <f t="shared" si="335"/>
        <v>2047</v>
      </c>
      <c r="B105">
        <v>342052.59999999974</v>
      </c>
      <c r="C105">
        <v>32207.817678313786</v>
      </c>
      <c r="D105">
        <v>287866.42896524025</v>
      </c>
      <c r="E105">
        <v>246772.88721279704</v>
      </c>
      <c r="F105">
        <v>279704.23383348715</v>
      </c>
      <c r="G105">
        <v>166308.88628616391</v>
      </c>
    </row>
    <row r="106" spans="1:30" x14ac:dyDescent="0.35">
      <c r="A106">
        <f t="shared" si="335"/>
        <v>2048</v>
      </c>
      <c r="B106">
        <v>342052.59999999974</v>
      </c>
      <c r="C106">
        <v>32016.62883239119</v>
      </c>
      <c r="D106">
        <v>285640.13266208698</v>
      </c>
      <c r="E106">
        <v>248949.02807040338</v>
      </c>
      <c r="F106">
        <v>277086.61791770515</v>
      </c>
      <c r="G106">
        <v>165321.66000609423</v>
      </c>
    </row>
    <row r="107" spans="1:30" x14ac:dyDescent="0.35">
      <c r="A107">
        <f t="shared" si="335"/>
        <v>2049</v>
      </c>
      <c r="B107">
        <v>342052.59999999974</v>
      </c>
      <c r="C107">
        <v>31825.439986468595</v>
      </c>
      <c r="D107">
        <v>283413.83635893371</v>
      </c>
      <c r="E107">
        <v>251125.16892800972</v>
      </c>
      <c r="F107">
        <v>274469.00200192316</v>
      </c>
      <c r="G107">
        <v>164334.43372602455</v>
      </c>
    </row>
    <row r="108" spans="1:30" x14ac:dyDescent="0.35">
      <c r="A108">
        <f>A107+1</f>
        <v>2050</v>
      </c>
      <c r="B108">
        <v>342052.59999999974</v>
      </c>
      <c r="C108">
        <v>31634.251140545999</v>
      </c>
      <c r="D108">
        <v>281187.54005578056</v>
      </c>
      <c r="E108">
        <v>253301.30978561606</v>
      </c>
      <c r="F108">
        <v>271851.38608614117</v>
      </c>
      <c r="G108">
        <v>163347.2074459549</v>
      </c>
    </row>
    <row r="111" spans="1:30" x14ac:dyDescent="0.35">
      <c r="A111" s="42"/>
      <c r="B111" s="187" t="s">
        <v>64</v>
      </c>
      <c r="C111" s="187"/>
      <c r="D111" s="187"/>
      <c r="E111" s="187"/>
      <c r="F111" s="187"/>
      <c r="G111" s="187" t="s">
        <v>65</v>
      </c>
      <c r="H111" s="187"/>
      <c r="I111" s="187"/>
      <c r="J111" s="187" t="s">
        <v>66</v>
      </c>
      <c r="K111" s="187"/>
      <c r="L111" s="187"/>
      <c r="M111" s="187"/>
      <c r="N111" s="187"/>
      <c r="O111" s="187" t="s">
        <v>67</v>
      </c>
      <c r="P111" s="187"/>
      <c r="Q111" s="187"/>
      <c r="R111" s="187"/>
      <c r="S111" s="187"/>
      <c r="T111" s="187"/>
      <c r="U111" s="187" t="s">
        <v>68</v>
      </c>
      <c r="V111" s="187"/>
      <c r="W111" s="187"/>
      <c r="X111" s="187"/>
      <c r="Y111" s="187"/>
      <c r="Z111" s="187" t="s">
        <v>69</v>
      </c>
      <c r="AA111" s="187"/>
      <c r="AB111" s="187"/>
      <c r="AC111" s="187"/>
      <c r="AD111" s="187"/>
    </row>
    <row r="112" spans="1:30" x14ac:dyDescent="0.35">
      <c r="A112" s="42" t="s">
        <v>78</v>
      </c>
      <c r="B112" s="42" t="s">
        <v>70</v>
      </c>
      <c r="C112" s="42" t="s">
        <v>71</v>
      </c>
      <c r="D112" s="42" t="s">
        <v>72</v>
      </c>
      <c r="E112" s="42" t="s">
        <v>73</v>
      </c>
      <c r="F112" s="42" t="s">
        <v>74</v>
      </c>
      <c r="G112" s="42" t="s">
        <v>70</v>
      </c>
      <c r="H112" s="42" t="s">
        <v>72</v>
      </c>
      <c r="I112" s="42" t="s">
        <v>74</v>
      </c>
      <c r="J112" s="42" t="s">
        <v>70</v>
      </c>
      <c r="K112" s="42" t="s">
        <v>75</v>
      </c>
      <c r="L112" s="42" t="s">
        <v>72</v>
      </c>
      <c r="M112" s="42" t="s">
        <v>74</v>
      </c>
      <c r="N112" s="42" t="s">
        <v>76</v>
      </c>
      <c r="O112" s="42" t="s">
        <v>70</v>
      </c>
      <c r="P112" s="42" t="s">
        <v>77</v>
      </c>
      <c r="Q112" s="42" t="s">
        <v>72</v>
      </c>
      <c r="R112" s="42" t="s">
        <v>73</v>
      </c>
      <c r="S112" s="42" t="s">
        <v>74</v>
      </c>
      <c r="T112" s="42" t="s">
        <v>71</v>
      </c>
      <c r="U112" s="42" t="s">
        <v>70</v>
      </c>
      <c r="V112" s="42" t="s">
        <v>77</v>
      </c>
      <c r="W112" s="42" t="s">
        <v>71</v>
      </c>
      <c r="X112" s="42" t="s">
        <v>72</v>
      </c>
      <c r="Y112" s="42" t="s">
        <v>74</v>
      </c>
      <c r="Z112" s="42" t="s">
        <v>70</v>
      </c>
      <c r="AA112" s="42" t="s">
        <v>77</v>
      </c>
      <c r="AB112" s="42" t="s">
        <v>72</v>
      </c>
      <c r="AC112" s="42" t="s">
        <v>74</v>
      </c>
      <c r="AD112" s="42" t="s">
        <v>71</v>
      </c>
    </row>
    <row r="113" spans="1:30" x14ac:dyDescent="0.3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</row>
    <row r="114" spans="1:30" x14ac:dyDescent="0.35">
      <c r="A114" s="41">
        <v>2020</v>
      </c>
      <c r="B114" s="33">
        <v>1.70549842494939E-2</v>
      </c>
      <c r="C114" s="33">
        <v>9.7543505748386578E-3</v>
      </c>
      <c r="D114" s="33">
        <v>0.95730713852405691</v>
      </c>
      <c r="E114" s="33">
        <v>6.8211751120076589E-3</v>
      </c>
      <c r="F114" s="33">
        <v>9.0623515396028396E-3</v>
      </c>
      <c r="G114" s="171">
        <v>0.18937725025722213</v>
      </c>
      <c r="H114" s="171">
        <v>0.76319057331563145</v>
      </c>
      <c r="I114" s="172">
        <v>4.7432176427146464E-2</v>
      </c>
      <c r="J114" s="33">
        <v>3.001274344849188E-2</v>
      </c>
      <c r="K114" s="33">
        <v>4.3647087577094491E-2</v>
      </c>
      <c r="L114" s="33">
        <v>0.8929624524847033</v>
      </c>
      <c r="M114" s="33">
        <v>3.3377716489710378E-2</v>
      </c>
      <c r="N114" s="33">
        <v>0</v>
      </c>
      <c r="O114" s="33">
        <v>0.43006070554877496</v>
      </c>
      <c r="P114" s="33">
        <v>0.11458099314064607</v>
      </c>
      <c r="Q114" s="33">
        <v>7.4782030304806874E-2</v>
      </c>
      <c r="R114" s="33">
        <v>1.7454289627825418E-2</v>
      </c>
      <c r="S114" s="33">
        <v>0.3445704083101046</v>
      </c>
      <c r="T114" s="33">
        <v>1.8551573067842046E-2</v>
      </c>
      <c r="U114" s="33">
        <v>0.18571172597225799</v>
      </c>
      <c r="V114" s="33">
        <v>2.8367081657872353E-2</v>
      </c>
      <c r="W114" s="33">
        <v>0.20515836529310044</v>
      </c>
      <c r="X114" s="33">
        <v>6.1040695112417012E-2</v>
      </c>
      <c r="Y114" s="33">
        <v>0.51972213196435235</v>
      </c>
      <c r="Z114" s="33">
        <v>0.39082612967965707</v>
      </c>
      <c r="AA114" s="33">
        <v>1.7687438434504578E-2</v>
      </c>
      <c r="AB114" s="33">
        <v>3.1028103761602695E-2</v>
      </c>
      <c r="AC114" s="33">
        <v>0.40405862696035705</v>
      </c>
      <c r="AD114" s="33">
        <v>0.15639970116387852</v>
      </c>
    </row>
    <row r="115" spans="1:30" x14ac:dyDescent="0.35">
      <c r="A115" s="41">
        <v>2021</v>
      </c>
      <c r="B115" s="33">
        <v>1.7054984249493865E-2</v>
      </c>
      <c r="C115" s="33">
        <v>9.7543505748386578E-3</v>
      </c>
      <c r="D115" s="33">
        <v>0.95730713852405691</v>
      </c>
      <c r="E115" s="33">
        <v>6.8211751120076589E-3</v>
      </c>
      <c r="F115" s="33">
        <v>9.0623515396028396E-3</v>
      </c>
      <c r="G115" s="173">
        <v>0.18937695446258004</v>
      </c>
      <c r="H115" s="173">
        <v>0.76319108286196902</v>
      </c>
      <c r="I115" s="33">
        <v>4.7431962675450981E-2</v>
      </c>
      <c r="J115" s="33">
        <v>3.6135546692555323E-2</v>
      </c>
      <c r="K115" s="33">
        <v>4.4916982880222653E-2</v>
      </c>
      <c r="L115" s="33">
        <v>0.88339816820283423</v>
      </c>
      <c r="M115" s="33">
        <v>3.459174461768344E-2</v>
      </c>
      <c r="N115" s="33">
        <v>1.154316019040833E-3</v>
      </c>
      <c r="O115" s="33">
        <v>0.42109543379556325</v>
      </c>
      <c r="P115" s="33">
        <v>0.11645368797309785</v>
      </c>
      <c r="Q115" s="33">
        <v>7.1569725701900191E-2</v>
      </c>
      <c r="R115" s="33">
        <v>2.8518242086456463E-2</v>
      </c>
      <c r="S115" s="33">
        <v>0.34141114631510566</v>
      </c>
      <c r="T115" s="33">
        <v>2.095176412787661E-2</v>
      </c>
      <c r="U115" s="33">
        <v>0.19043964553766993</v>
      </c>
      <c r="V115" s="33">
        <v>3.0729066888978366E-2</v>
      </c>
      <c r="W115" s="33">
        <v>0.20921429685447968</v>
      </c>
      <c r="X115" s="33">
        <v>5.6426032343020405E-2</v>
      </c>
      <c r="Y115" s="33">
        <v>0.51319095837585149</v>
      </c>
      <c r="Z115" s="33">
        <v>0.41135957313612947</v>
      </c>
      <c r="AA115" s="33">
        <v>1.9882692769624944E-2</v>
      </c>
      <c r="AB115" s="33">
        <v>5.0798523986652876E-2</v>
      </c>
      <c r="AC115" s="33">
        <v>0.38268696532146729</v>
      </c>
      <c r="AD115" s="33">
        <v>0.13527224478612532</v>
      </c>
    </row>
    <row r="116" spans="1:30" x14ac:dyDescent="0.35">
      <c r="A116" s="41">
        <v>2022</v>
      </c>
      <c r="B116" s="33">
        <v>1.7054984249493865E-2</v>
      </c>
      <c r="C116" s="33">
        <v>9.7543505748386578E-3</v>
      </c>
      <c r="D116" s="33">
        <v>0.95730713852405691</v>
      </c>
      <c r="E116" s="33">
        <v>6.8211751120076589E-3</v>
      </c>
      <c r="F116" s="33">
        <v>9.0623515396028396E-3</v>
      </c>
      <c r="G116" s="173">
        <v>0.18937667951139997</v>
      </c>
      <c r="H116" s="173">
        <v>0.76319155650261994</v>
      </c>
      <c r="I116" s="33">
        <v>4.7431763985980112E-2</v>
      </c>
      <c r="J116" s="33">
        <v>4.1803475238755834E-2</v>
      </c>
      <c r="K116" s="33">
        <v>4.6092535246087876E-2</v>
      </c>
      <c r="L116" s="33">
        <v>0.87454443279042438</v>
      </c>
      <c r="M116" s="33">
        <v>3.5715580287088718E-2</v>
      </c>
      <c r="N116" s="33">
        <v>2.2228757056519674E-3</v>
      </c>
      <c r="O116" s="33">
        <v>0.41236019163248033</v>
      </c>
      <c r="P116" s="33">
        <v>0.11827833348405632</v>
      </c>
      <c r="Q116" s="33">
        <v>6.8439841925881498E-2</v>
      </c>
      <c r="R116" s="33">
        <v>3.9298317322029402E-2</v>
      </c>
      <c r="S116" s="33">
        <v>0.33833294418776305</v>
      </c>
      <c r="T116" s="33">
        <v>2.3290371447789445E-2</v>
      </c>
      <c r="U116" s="33">
        <v>0.19523317037118831</v>
      </c>
      <c r="V116" s="33">
        <v>3.3123827354985418E-2</v>
      </c>
      <c r="W116" s="33">
        <v>0.21332650908515188</v>
      </c>
      <c r="X116" s="33">
        <v>5.1747335872538699E-2</v>
      </c>
      <c r="Y116" s="33">
        <v>0.5065691573161355</v>
      </c>
      <c r="Z116" s="33">
        <v>0.43138915159103863</v>
      </c>
      <c r="AA116" s="33">
        <v>2.2024078311070158E-2</v>
      </c>
      <c r="AB116" s="33">
        <v>7.0083802845194415E-2</v>
      </c>
      <c r="AC116" s="33">
        <v>0.36183973750917436</v>
      </c>
      <c r="AD116" s="33">
        <v>0.11466322974352226</v>
      </c>
    </row>
    <row r="117" spans="1:30" x14ac:dyDescent="0.35">
      <c r="A117" s="41">
        <v>2023</v>
      </c>
      <c r="B117" s="33">
        <v>1.7054984249493865E-2</v>
      </c>
      <c r="C117" s="33">
        <v>9.7543505748386578E-3</v>
      </c>
      <c r="D117" s="33">
        <v>0.95730713852405691</v>
      </c>
      <c r="E117" s="33">
        <v>6.8211751120076589E-3</v>
      </c>
      <c r="F117" s="33">
        <v>9.0623515396028396E-3</v>
      </c>
      <c r="G117" s="173">
        <v>0.18937642327553028</v>
      </c>
      <c r="H117" s="173">
        <v>0.76319199790361358</v>
      </c>
      <c r="I117" s="33">
        <v>4.7431578820856066E-2</v>
      </c>
      <c r="J117" s="33">
        <v>4.706540384728379E-2</v>
      </c>
      <c r="K117" s="33">
        <v>4.718388150678051E-2</v>
      </c>
      <c r="L117" s="33">
        <v>0.86632490015532682</v>
      </c>
      <c r="M117" s="33">
        <v>3.6758914375005544E-2</v>
      </c>
      <c r="N117" s="33">
        <v>3.2148932900422926E-3</v>
      </c>
      <c r="O117" s="33">
        <v>0.40384623809985709</v>
      </c>
      <c r="P117" s="33">
        <v>0.12005675551332347</v>
      </c>
      <c r="Q117" s="33">
        <v>6.5389247044361942E-2</v>
      </c>
      <c r="R117" s="33">
        <v>4.9805302465696935E-2</v>
      </c>
      <c r="S117" s="33">
        <v>0.33533272171116402</v>
      </c>
      <c r="T117" s="33">
        <v>2.5569735165596595E-2</v>
      </c>
      <c r="U117" s="33">
        <v>0.2000936755347974</v>
      </c>
      <c r="V117" s="33">
        <v>3.5552050012609721E-2</v>
      </c>
      <c r="W117" s="33">
        <v>0.21749618160698342</v>
      </c>
      <c r="X117" s="33">
        <v>4.7003263578446863E-2</v>
      </c>
      <c r="Y117" s="33">
        <v>0.49985482926716246</v>
      </c>
      <c r="Z117" s="33">
        <v>0.45093318657537268</v>
      </c>
      <c r="AA117" s="33">
        <v>2.4113553835039301E-2</v>
      </c>
      <c r="AB117" s="33">
        <v>8.8901581039702249E-2</v>
      </c>
      <c r="AC117" s="33">
        <v>0.34149787406920901</v>
      </c>
      <c r="AD117" s="33">
        <v>9.4553804480676545E-2</v>
      </c>
    </row>
    <row r="118" spans="1:30" x14ac:dyDescent="0.35">
      <c r="A118" s="41">
        <v>2024</v>
      </c>
      <c r="B118" s="33">
        <v>1.7054984249493865E-2</v>
      </c>
      <c r="C118" s="33">
        <v>9.7543505748386578E-3</v>
      </c>
      <c r="D118" s="33">
        <v>0.95730713852405691</v>
      </c>
      <c r="E118" s="33">
        <v>6.8211751120076589E-3</v>
      </c>
      <c r="F118" s="33">
        <v>9.0623515396028396E-3</v>
      </c>
      <c r="G118" s="173">
        <v>0.18937618390700073</v>
      </c>
      <c r="H118" s="173">
        <v>0.76319241024832907</v>
      </c>
      <c r="I118" s="33">
        <v>4.7431405844670038E-2</v>
      </c>
      <c r="J118" s="33">
        <v>5.1963447478907646E-2</v>
      </c>
      <c r="K118" s="33">
        <v>4.8199756483384856E-2</v>
      </c>
      <c r="L118" s="33">
        <v>0.85867378352614709</v>
      </c>
      <c r="M118" s="33">
        <v>3.7730097426918269E-2</v>
      </c>
      <c r="N118" s="33">
        <v>4.1383085951847967E-3</v>
      </c>
      <c r="O118" s="33">
        <v>0.39554526956558878</v>
      </c>
      <c r="P118" s="33">
        <v>0.12179068855031148</v>
      </c>
      <c r="Q118" s="33">
        <v>6.2414965821747444E-2</v>
      </c>
      <c r="R118" s="33">
        <v>6.0049444947026138E-2</v>
      </c>
      <c r="S118" s="33">
        <v>0.33240755277776263</v>
      </c>
      <c r="T118" s="33">
        <v>2.7792078337563638E-2</v>
      </c>
      <c r="U118" s="33">
        <v>0.20502257478856345</v>
      </c>
      <c r="V118" s="33">
        <v>3.8014441151446685E-2</v>
      </c>
      <c r="W118" s="33">
        <v>0.22172452723969205</v>
      </c>
      <c r="X118" s="33">
        <v>4.2192435567146309E-2</v>
      </c>
      <c r="Y118" s="33">
        <v>0.49304602125315133</v>
      </c>
      <c r="Z118" s="33">
        <v>0.47000912198139916</v>
      </c>
      <c r="AA118" s="33">
        <v>2.6152984288354504E-2</v>
      </c>
      <c r="AB118" s="33">
        <v>0.10726865424700575</v>
      </c>
      <c r="AC118" s="33">
        <v>0.32164321901307391</v>
      </c>
      <c r="AD118" s="33">
        <v>7.4926020470166471E-2</v>
      </c>
    </row>
    <row r="119" spans="1:30" x14ac:dyDescent="0.35">
      <c r="A119" s="41">
        <v>2025</v>
      </c>
      <c r="B119" s="33">
        <v>1.7054984249493865E-2</v>
      </c>
      <c r="C119" s="33">
        <v>9.7543505748386578E-3</v>
      </c>
      <c r="D119" s="33">
        <v>0.95730713852405691</v>
      </c>
      <c r="E119" s="33">
        <v>6.8211751120076589E-3</v>
      </c>
      <c r="F119" s="33">
        <v>9.0623515396028396E-3</v>
      </c>
      <c r="G119" s="173">
        <v>0.18937595979338268</v>
      </c>
      <c r="H119" s="173">
        <v>0.7631927963143933</v>
      </c>
      <c r="I119" s="33">
        <v>4.7431243892223918E-2</v>
      </c>
      <c r="J119" s="33">
        <v>5.6534090909090756E-2</v>
      </c>
      <c r="K119" s="33">
        <v>4.914772727272728E-2</v>
      </c>
      <c r="L119" s="33">
        <v>0.85153409090909082</v>
      </c>
      <c r="M119" s="33">
        <v>3.8636363636363712E-2</v>
      </c>
      <c r="N119" s="33">
        <v>5.0000000000000001E-3</v>
      </c>
      <c r="O119" s="33">
        <v>0.38744939271255063</v>
      </c>
      <c r="P119" s="33">
        <v>0.12348178137651825</v>
      </c>
      <c r="Q119" s="33">
        <v>5.9514170040485835E-2</v>
      </c>
      <c r="R119" s="33">
        <v>7.0040485829959517E-2</v>
      </c>
      <c r="S119" s="33">
        <v>0.32955465587044541</v>
      </c>
      <c r="T119" s="33">
        <v>2.9959514170040426E-2</v>
      </c>
      <c r="U119" s="33">
        <v>0.21002132196162046</v>
      </c>
      <c r="V119" s="33">
        <v>4.0511727078891273E-2</v>
      </c>
      <c r="W119" s="33">
        <v>0.22601279317697223</v>
      </c>
      <c r="X119" s="33">
        <v>3.7313432835820892E-2</v>
      </c>
      <c r="Y119" s="33">
        <v>0.48614072494669508</v>
      </c>
      <c r="Z119" s="33">
        <v>0.48863357599164592</v>
      </c>
      <c r="AA119" s="33">
        <v>2.8144146340248744E-2</v>
      </c>
      <c r="AB119" s="33">
        <v>0.12520102311758763</v>
      </c>
      <c r="AC119" s="33">
        <v>0.30225847576921278</v>
      </c>
      <c r="AD119" s="33">
        <v>5.5762778781304694E-2</v>
      </c>
    </row>
    <row r="120" spans="1:30" x14ac:dyDescent="0.35">
      <c r="A120" s="41">
        <v>2026</v>
      </c>
      <c r="B120" s="33">
        <v>1.7054984249493865E-2</v>
      </c>
      <c r="C120" s="33">
        <v>9.7543505748386578E-3</v>
      </c>
      <c r="D120" s="33">
        <v>0.95730713852405691</v>
      </c>
      <c r="E120" s="33">
        <v>6.8211751120076589E-3</v>
      </c>
      <c r="F120" s="33">
        <v>9.0623515396028396E-3</v>
      </c>
      <c r="G120" s="173">
        <v>0.18937595979338268</v>
      </c>
      <c r="H120" s="173">
        <v>0.7631927963143933</v>
      </c>
      <c r="I120" s="33">
        <v>4.7431243892223918E-2</v>
      </c>
      <c r="J120" s="33">
        <v>6.8356330465908291E-2</v>
      </c>
      <c r="K120" s="33">
        <v>5.8657121413313341E-2</v>
      </c>
      <c r="L120" s="33">
        <v>0.81906783672998074</v>
      </c>
      <c r="M120" s="33">
        <v>4.8611512037411299E-2</v>
      </c>
      <c r="N120" s="33">
        <v>6.0000000000000001E-3</v>
      </c>
      <c r="O120" s="33">
        <v>0.39026382422608841</v>
      </c>
      <c r="P120" s="33">
        <v>0.12162051784693297</v>
      </c>
      <c r="Q120" s="33">
        <v>5.8564077432001968E-2</v>
      </c>
      <c r="R120" s="33">
        <v>6.7630482724822361E-2</v>
      </c>
      <c r="S120" s="33">
        <v>0.32875929102344204</v>
      </c>
      <c r="T120" s="33">
        <v>3.316180674671234E-2</v>
      </c>
      <c r="U120" s="33">
        <v>0.21290838972567852</v>
      </c>
      <c r="V120" s="33">
        <v>4.2057774867205154E-2</v>
      </c>
      <c r="W120" s="33">
        <v>0.23917630793858691</v>
      </c>
      <c r="X120" s="33">
        <v>3.2598413737902933E-2</v>
      </c>
      <c r="Y120" s="33">
        <v>0.47325911373062651</v>
      </c>
      <c r="Z120" s="33">
        <v>0.49254797385357885</v>
      </c>
      <c r="AA120" s="33">
        <v>2.7473652967542918E-2</v>
      </c>
      <c r="AB120" s="33">
        <v>0.12483460563473953</v>
      </c>
      <c r="AC120" s="33">
        <v>0.29058731962690665</v>
      </c>
      <c r="AD120" s="33">
        <v>6.455644791723171E-2</v>
      </c>
    </row>
    <row r="121" spans="1:30" x14ac:dyDescent="0.35">
      <c r="A121" s="41">
        <v>2027</v>
      </c>
      <c r="B121" s="33">
        <v>1.7054984249493865E-2</v>
      </c>
      <c r="C121" s="33">
        <v>9.7543505748386578E-3</v>
      </c>
      <c r="D121" s="33">
        <v>0.95730713852405691</v>
      </c>
      <c r="E121" s="33">
        <v>6.8211751120076589E-3</v>
      </c>
      <c r="F121" s="33">
        <v>9.0623515396028396E-3</v>
      </c>
      <c r="G121" s="173">
        <v>0.18937595979338268</v>
      </c>
      <c r="H121" s="173">
        <v>0.7631927963143933</v>
      </c>
      <c r="I121" s="33">
        <v>4.7431243892223911E-2</v>
      </c>
      <c r="J121" s="33">
        <v>8.056566130735815E-2</v>
      </c>
      <c r="K121" s="33">
        <v>6.8477878183311858E-2</v>
      </c>
      <c r="L121" s="33">
        <v>0.7855712944490082</v>
      </c>
      <c r="M121" s="33">
        <v>5.8913273090012971E-2</v>
      </c>
      <c r="N121" s="33">
        <v>7.000000000000001E-3</v>
      </c>
      <c r="O121" s="33">
        <v>0.39312788398154253</v>
      </c>
      <c r="P121" s="33">
        <v>0.11972643375082402</v>
      </c>
      <c r="Q121" s="33">
        <v>5.7597231377719188E-2</v>
      </c>
      <c r="R121" s="33">
        <v>6.51779828609097E-2</v>
      </c>
      <c r="S121" s="33">
        <v>0.32794990112063288</v>
      </c>
      <c r="T121" s="33">
        <v>3.642056690837172E-2</v>
      </c>
      <c r="U121" s="33">
        <v>0.21593619558735835</v>
      </c>
      <c r="V121" s="33">
        <v>4.3679189028026283E-2</v>
      </c>
      <c r="W121" s="33">
        <v>0.25298151460942159</v>
      </c>
      <c r="X121" s="33">
        <v>2.765354800238521E-2</v>
      </c>
      <c r="Y121" s="33">
        <v>0.45974955277280871</v>
      </c>
      <c r="Z121" s="33">
        <v>0.49661889406445581</v>
      </c>
      <c r="AA121" s="33">
        <v>2.6776349035116557E-2</v>
      </c>
      <c r="AB121" s="33">
        <v>0.12445353646671978</v>
      </c>
      <c r="AC121" s="33">
        <v>0.27844947694973105</v>
      </c>
      <c r="AD121" s="33">
        <v>7.3701743483976359E-2</v>
      </c>
    </row>
    <row r="122" spans="1:30" x14ac:dyDescent="0.35">
      <c r="A122" s="41">
        <v>2028</v>
      </c>
      <c r="B122" s="33">
        <v>1.7054984249493865E-2</v>
      </c>
      <c r="C122" s="33">
        <v>9.7543505748386578E-3</v>
      </c>
      <c r="D122" s="33">
        <v>0.95730713852405691</v>
      </c>
      <c r="E122" s="33">
        <v>6.8211751120076589E-3</v>
      </c>
      <c r="F122" s="33">
        <v>9.0623515396028396E-3</v>
      </c>
      <c r="G122" s="173">
        <v>0.1893759597933827</v>
      </c>
      <c r="H122" s="173">
        <v>0.7631927963143933</v>
      </c>
      <c r="I122" s="33">
        <v>4.7431243892223911E-2</v>
      </c>
      <c r="J122" s="33">
        <v>9.3181411441865883E-2</v>
      </c>
      <c r="K122" s="33">
        <v>7.8625544353636057E-2</v>
      </c>
      <c r="L122" s="33">
        <v>0.75099302034242077</v>
      </c>
      <c r="M122" s="33">
        <v>6.9557955019984546E-2</v>
      </c>
      <c r="N122" s="33">
        <v>8.0000000000000002E-3</v>
      </c>
      <c r="O122" s="33">
        <v>0.39604289633385981</v>
      </c>
      <c r="P122" s="33">
        <v>0.11779865325463466</v>
      </c>
      <c r="Q122" s="33">
        <v>5.6613184803391815E-2</v>
      </c>
      <c r="R122" s="33">
        <v>6.2681852190539553E-2</v>
      </c>
      <c r="S122" s="33">
        <v>0.32712611189625085</v>
      </c>
      <c r="T122" s="33">
        <v>3.9737301521323397E-2</v>
      </c>
      <c r="U122" s="33">
        <v>0.21911528764611501</v>
      </c>
      <c r="V122" s="33">
        <v>4.5381618152647324E-2</v>
      </c>
      <c r="W122" s="33">
        <v>0.26747650699060288</v>
      </c>
      <c r="X122" s="33">
        <v>2.2461608984643593E-2</v>
      </c>
      <c r="Y122" s="33">
        <v>0.44556497822599145</v>
      </c>
      <c r="Z122" s="33">
        <v>0.5008559162799493</v>
      </c>
      <c r="AA122" s="33">
        <v>2.6050593653139918E-2</v>
      </c>
      <c r="AB122" s="33">
        <v>0.12405691888472314</v>
      </c>
      <c r="AC122" s="33">
        <v>0.26581638506697991</v>
      </c>
      <c r="AD122" s="33">
        <v>8.3220186115207234E-2</v>
      </c>
    </row>
    <row r="123" spans="1:30" x14ac:dyDescent="0.35">
      <c r="A123" s="41">
        <v>2029</v>
      </c>
      <c r="B123" s="33">
        <v>1.7054984249493865E-2</v>
      </c>
      <c r="C123" s="33">
        <v>9.7543505748386578E-3</v>
      </c>
      <c r="D123" s="33">
        <v>0.95730713852405691</v>
      </c>
      <c r="E123" s="33">
        <v>6.8211751120076589E-3</v>
      </c>
      <c r="F123" s="33">
        <v>9.0623515396028396E-3</v>
      </c>
      <c r="G123" s="173">
        <v>0.1893759597933827</v>
      </c>
      <c r="H123" s="173">
        <v>0.7631927963143933</v>
      </c>
      <c r="I123" s="33">
        <v>4.7431243892223911E-2</v>
      </c>
      <c r="J123" s="33">
        <v>0.10622421742295547</v>
      </c>
      <c r="K123" s="33">
        <v>8.9116719242902293E-2</v>
      </c>
      <c r="L123" s="33">
        <v>0.71527808784275648</v>
      </c>
      <c r="M123" s="33">
        <v>8.0562970152875571E-2</v>
      </c>
      <c r="N123" s="33">
        <v>9.0000000000000011E-3</v>
      </c>
      <c r="O123" s="33">
        <v>0.3990102331823519</v>
      </c>
      <c r="P123" s="33">
        <v>0.11583626908236877</v>
      </c>
      <c r="Q123" s="33">
        <v>5.5611474584801215E-2</v>
      </c>
      <c r="R123" s="33">
        <v>6.0140915953699067E-2</v>
      </c>
      <c r="S123" s="33">
        <v>0.32628753564838126</v>
      </c>
      <c r="T123" s="33">
        <v>4.3113571548397844E-2</v>
      </c>
      <c r="U123" s="33">
        <v>0.22245729509481268</v>
      </c>
      <c r="V123" s="33">
        <v>4.7171289766494359E-2</v>
      </c>
      <c r="W123" s="33">
        <v>0.28271430810217846</v>
      </c>
      <c r="X123" s="33">
        <v>1.7003604450713052E-2</v>
      </c>
      <c r="Y123" s="33">
        <v>0.43065350258580182</v>
      </c>
      <c r="Z123" s="33">
        <v>0.50526941817589099</v>
      </c>
      <c r="AA123" s="33">
        <v>2.5294609239692414E-2</v>
      </c>
      <c r="AB123" s="33">
        <v>0.12364378145917342</v>
      </c>
      <c r="AC123" s="33">
        <v>0.25265710193359292</v>
      </c>
      <c r="AD123" s="33">
        <v>9.3135089191649589E-2</v>
      </c>
    </row>
    <row r="124" spans="1:30" x14ac:dyDescent="0.35">
      <c r="A124" s="41">
        <v>2030</v>
      </c>
      <c r="B124" s="33">
        <v>1.7054984249493865E-2</v>
      </c>
      <c r="C124" s="33">
        <v>9.7543505748386578E-3</v>
      </c>
      <c r="D124" s="33">
        <v>0.95730713852405691</v>
      </c>
      <c r="E124" s="33">
        <v>6.8211751120076589E-3</v>
      </c>
      <c r="F124" s="33">
        <v>9.0623515396028396E-3</v>
      </c>
      <c r="G124" s="173">
        <v>0.18937595979338265</v>
      </c>
      <c r="H124" s="173">
        <v>0.76319279631439352</v>
      </c>
      <c r="I124" s="33">
        <v>4.7431243892223925E-2</v>
      </c>
      <c r="J124" s="33">
        <v>0.11971613699475457</v>
      </c>
      <c r="K124" s="33">
        <v>9.99691453255169E-2</v>
      </c>
      <c r="L124" s="33">
        <v>0.67836778771983952</v>
      </c>
      <c r="M124" s="33">
        <v>9.1946929959888929E-2</v>
      </c>
      <c r="N124" s="33">
        <v>1.0000000000000002E-2</v>
      </c>
      <c r="O124" s="33">
        <v>0.40203131612357179</v>
      </c>
      <c r="P124" s="33">
        <v>0.11383834109183248</v>
      </c>
      <c r="Q124" s="33">
        <v>5.4591620820990262E-2</v>
      </c>
      <c r="R124" s="33">
        <v>5.7553956834532384E-2</v>
      </c>
      <c r="S124" s="33">
        <v>0.3254337706305544</v>
      </c>
      <c r="T124" s="33">
        <v>4.6550994498518745E-2</v>
      </c>
      <c r="U124" s="33">
        <v>0.22597507036590264</v>
      </c>
      <c r="V124" s="33">
        <v>4.9055086449537683E-2</v>
      </c>
      <c r="W124" s="33">
        <v>0.29875351829513463</v>
      </c>
      <c r="X124" s="33">
        <v>1.1258544431041415E-2</v>
      </c>
      <c r="Y124" s="33">
        <v>0.41495778045838355</v>
      </c>
      <c r="Z124" s="33">
        <v>0.50987066031313821</v>
      </c>
      <c r="AA124" s="33">
        <v>2.4506466984343053E-2</v>
      </c>
      <c r="AB124" s="33">
        <v>0.12321307011572498</v>
      </c>
      <c r="AC124" s="33">
        <v>0.23893805309734514</v>
      </c>
      <c r="AD124" s="33">
        <v>0.10347174948944858</v>
      </c>
    </row>
    <row r="125" spans="1:30" x14ac:dyDescent="0.35">
      <c r="A125" s="41">
        <v>2031</v>
      </c>
      <c r="B125" s="33">
        <v>1.7054984249493865E-2</v>
      </c>
      <c r="C125" s="33">
        <v>9.7543505748386578E-3</v>
      </c>
      <c r="D125" s="33">
        <v>0.95730713852405691</v>
      </c>
      <c r="E125" s="33">
        <v>6.8211751120076589E-3</v>
      </c>
      <c r="F125" s="33">
        <v>9.0623515396028396E-3</v>
      </c>
      <c r="G125" s="173">
        <v>0.18937595979338265</v>
      </c>
      <c r="H125" s="173">
        <v>0.76319279631439352</v>
      </c>
      <c r="I125" s="33">
        <v>4.7431243892223925E-2</v>
      </c>
      <c r="J125" s="33">
        <v>0.11971613699475457</v>
      </c>
      <c r="K125" s="33">
        <v>9.9969145325516887E-2</v>
      </c>
      <c r="L125" s="33">
        <v>0.67836778771983952</v>
      </c>
      <c r="M125" s="33">
        <v>9.1946929959888915E-2</v>
      </c>
      <c r="N125" s="33">
        <v>1.0000000000000002E-2</v>
      </c>
      <c r="O125" s="33">
        <v>0.40203131612357179</v>
      </c>
      <c r="P125" s="33">
        <v>0.11383834109183248</v>
      </c>
      <c r="Q125" s="33">
        <v>5.4591620820990262E-2</v>
      </c>
      <c r="R125" s="33">
        <v>5.7553956834532384E-2</v>
      </c>
      <c r="S125" s="33">
        <v>0.3254337706305544</v>
      </c>
      <c r="T125" s="33">
        <v>4.6550994498518745E-2</v>
      </c>
      <c r="U125" s="33">
        <v>0.22597507036590264</v>
      </c>
      <c r="V125" s="33">
        <v>4.9055086449537683E-2</v>
      </c>
      <c r="W125" s="33">
        <v>0.29875351829513463</v>
      </c>
      <c r="X125" s="33">
        <v>1.1258544431041415E-2</v>
      </c>
      <c r="Y125" s="33">
        <v>0.41495778045838355</v>
      </c>
      <c r="Z125" s="33">
        <v>0.50987066031313821</v>
      </c>
      <c r="AA125" s="33">
        <v>2.4506466984343053E-2</v>
      </c>
      <c r="AB125" s="33">
        <v>0.12321307011572498</v>
      </c>
      <c r="AC125" s="33">
        <v>0.23893805309734514</v>
      </c>
      <c r="AD125" s="33">
        <v>0.10347174948944858</v>
      </c>
    </row>
    <row r="126" spans="1:30" x14ac:dyDescent="0.35">
      <c r="A126" s="41">
        <v>2032</v>
      </c>
      <c r="B126" s="33">
        <v>1.7054984249493865E-2</v>
      </c>
      <c r="C126" s="33">
        <v>9.7543505748386578E-3</v>
      </c>
      <c r="D126" s="33">
        <v>0.95730713852405691</v>
      </c>
      <c r="E126" s="33">
        <v>6.8211751120076589E-3</v>
      </c>
      <c r="F126" s="33">
        <v>9.0623515396028396E-3</v>
      </c>
      <c r="G126" s="173">
        <v>0.18937595979338265</v>
      </c>
      <c r="H126" s="173">
        <v>0.76319279631439352</v>
      </c>
      <c r="I126" s="33">
        <v>4.7431243892223925E-2</v>
      </c>
      <c r="J126" s="33">
        <v>0.11971613699475457</v>
      </c>
      <c r="K126" s="33">
        <v>9.99691453255169E-2</v>
      </c>
      <c r="L126" s="33">
        <v>0.67836778771983952</v>
      </c>
      <c r="M126" s="33">
        <v>9.1946929959888929E-2</v>
      </c>
      <c r="N126" s="33">
        <v>1.0000000000000002E-2</v>
      </c>
      <c r="O126" s="33">
        <v>0.40203131612357179</v>
      </c>
      <c r="P126" s="33">
        <v>0.11383834109183248</v>
      </c>
      <c r="Q126" s="33">
        <v>5.4591620820990262E-2</v>
      </c>
      <c r="R126" s="33">
        <v>5.7553956834532384E-2</v>
      </c>
      <c r="S126" s="33">
        <v>0.3254337706305544</v>
      </c>
      <c r="T126" s="33">
        <v>4.6550994498518745E-2</v>
      </c>
      <c r="U126" s="33">
        <v>0.22597507036590264</v>
      </c>
      <c r="V126" s="33">
        <v>4.9055086449537683E-2</v>
      </c>
      <c r="W126" s="33">
        <v>0.29875351829513463</v>
      </c>
      <c r="X126" s="33">
        <v>1.1258544431041415E-2</v>
      </c>
      <c r="Y126" s="33">
        <v>0.41495778045838355</v>
      </c>
      <c r="Z126" s="33">
        <v>0.50987066031313821</v>
      </c>
      <c r="AA126" s="33">
        <v>2.4506466984343053E-2</v>
      </c>
      <c r="AB126" s="33">
        <v>0.12321307011572498</v>
      </c>
      <c r="AC126" s="33">
        <v>0.23893805309734514</v>
      </c>
      <c r="AD126" s="33">
        <v>0.10347174948944858</v>
      </c>
    </row>
    <row r="127" spans="1:30" x14ac:dyDescent="0.35">
      <c r="A127" s="41">
        <v>2033</v>
      </c>
      <c r="B127" s="33">
        <v>1.7054984249493865E-2</v>
      </c>
      <c r="C127" s="33">
        <v>9.7543505748386578E-3</v>
      </c>
      <c r="D127" s="33">
        <v>0.95730713852405691</v>
      </c>
      <c r="E127" s="33">
        <v>6.8211751120076589E-3</v>
      </c>
      <c r="F127" s="33">
        <v>9.0623515396028396E-3</v>
      </c>
      <c r="G127" s="173">
        <v>0.18937595979338265</v>
      </c>
      <c r="H127" s="173">
        <v>0.76319279631439352</v>
      </c>
      <c r="I127" s="33">
        <v>4.7431243892223925E-2</v>
      </c>
      <c r="J127" s="33">
        <v>0.11971613699475457</v>
      </c>
      <c r="K127" s="33">
        <v>9.9969145325516887E-2</v>
      </c>
      <c r="L127" s="33">
        <v>0.67836778771983952</v>
      </c>
      <c r="M127" s="33">
        <v>9.1946929959888929E-2</v>
      </c>
      <c r="N127" s="33">
        <v>1.0000000000000002E-2</v>
      </c>
      <c r="O127" s="33">
        <v>0.40203131612357179</v>
      </c>
      <c r="P127" s="33">
        <v>0.11383834109183248</v>
      </c>
      <c r="Q127" s="33">
        <v>5.4591620820990262E-2</v>
      </c>
      <c r="R127" s="33">
        <v>5.7553956834532384E-2</v>
      </c>
      <c r="S127" s="33">
        <v>0.3254337706305544</v>
      </c>
      <c r="T127" s="33">
        <v>4.6550994498518745E-2</v>
      </c>
      <c r="U127" s="33">
        <v>0.22597507036590264</v>
      </c>
      <c r="V127" s="33">
        <v>4.9055086449537683E-2</v>
      </c>
      <c r="W127" s="33">
        <v>0.29875351829513463</v>
      </c>
      <c r="X127" s="33">
        <v>1.1258544431041415E-2</v>
      </c>
      <c r="Y127" s="33">
        <v>0.41495778045838355</v>
      </c>
      <c r="Z127" s="33">
        <v>0.50987066031313821</v>
      </c>
      <c r="AA127" s="33">
        <v>2.4506466984343053E-2</v>
      </c>
      <c r="AB127" s="33">
        <v>0.12321307011572498</v>
      </c>
      <c r="AC127" s="33">
        <v>0.23893805309734514</v>
      </c>
      <c r="AD127" s="33">
        <v>0.10347174948944858</v>
      </c>
    </row>
    <row r="128" spans="1:30" x14ac:dyDescent="0.35">
      <c r="A128" s="41">
        <v>2034</v>
      </c>
      <c r="B128" s="33">
        <v>1.7054984249493865E-2</v>
      </c>
      <c r="C128" s="33">
        <v>9.7543505748386578E-3</v>
      </c>
      <c r="D128" s="33">
        <v>0.95730713852405691</v>
      </c>
      <c r="E128" s="33">
        <v>6.8211751120076589E-3</v>
      </c>
      <c r="F128" s="33">
        <v>9.0623515396028396E-3</v>
      </c>
      <c r="G128" s="173">
        <v>0.18937595979338265</v>
      </c>
      <c r="H128" s="173">
        <v>0.76319279631439352</v>
      </c>
      <c r="I128" s="33">
        <v>4.7431243892223925E-2</v>
      </c>
      <c r="J128" s="33">
        <v>0.11971613699475456</v>
      </c>
      <c r="K128" s="33">
        <v>9.9969145325516887E-2</v>
      </c>
      <c r="L128" s="33">
        <v>0.67836778771983952</v>
      </c>
      <c r="M128" s="33">
        <v>9.1946929959888929E-2</v>
      </c>
      <c r="N128" s="33">
        <v>1.0000000000000002E-2</v>
      </c>
      <c r="O128" s="33">
        <v>0.40203131612357179</v>
      </c>
      <c r="P128" s="33">
        <v>0.11383834109183248</v>
      </c>
      <c r="Q128" s="33">
        <v>5.4591620820990262E-2</v>
      </c>
      <c r="R128" s="33">
        <v>5.7553956834532384E-2</v>
      </c>
      <c r="S128" s="33">
        <v>0.3254337706305544</v>
      </c>
      <c r="T128" s="33">
        <v>4.6550994498518745E-2</v>
      </c>
      <c r="U128" s="33">
        <v>0.22597507036590264</v>
      </c>
      <c r="V128" s="33">
        <v>4.9055086449537683E-2</v>
      </c>
      <c r="W128" s="33">
        <v>0.29875351829513463</v>
      </c>
      <c r="X128" s="33">
        <v>1.1258544431041415E-2</v>
      </c>
      <c r="Y128" s="33">
        <v>0.41495778045838355</v>
      </c>
      <c r="Z128" s="33">
        <v>0.50987066031313821</v>
      </c>
      <c r="AA128" s="33">
        <v>2.4506466984343053E-2</v>
      </c>
      <c r="AB128" s="33">
        <v>0.12321307011572498</v>
      </c>
      <c r="AC128" s="33">
        <v>0.23893805309734514</v>
      </c>
      <c r="AD128" s="33">
        <v>0.10347174948944858</v>
      </c>
    </row>
    <row r="129" spans="1:30" x14ac:dyDescent="0.35">
      <c r="A129" s="41">
        <v>2035</v>
      </c>
      <c r="B129" s="33">
        <v>1.7054984249493865E-2</v>
      </c>
      <c r="C129" s="33">
        <v>9.7543505748386578E-3</v>
      </c>
      <c r="D129" s="33">
        <v>0.95730713852405691</v>
      </c>
      <c r="E129" s="33">
        <v>6.8211751120076589E-3</v>
      </c>
      <c r="F129" s="33">
        <v>9.0623515396028396E-3</v>
      </c>
      <c r="G129" s="173">
        <v>0.18937595979338265</v>
      </c>
      <c r="H129" s="173">
        <v>0.76319279631439352</v>
      </c>
      <c r="I129" s="33">
        <v>4.7431243892223925E-2</v>
      </c>
      <c r="J129" s="33">
        <v>0.11971613699475456</v>
      </c>
      <c r="K129" s="33">
        <v>9.9969145325516887E-2</v>
      </c>
      <c r="L129" s="33">
        <v>0.67836778771983952</v>
      </c>
      <c r="M129" s="33">
        <v>9.1946929959888929E-2</v>
      </c>
      <c r="N129" s="33">
        <v>1.0000000000000002E-2</v>
      </c>
      <c r="O129" s="33">
        <v>0.40203131612357179</v>
      </c>
      <c r="P129" s="33">
        <v>0.11383834109183248</v>
      </c>
      <c r="Q129" s="33">
        <v>5.4591620820990262E-2</v>
      </c>
      <c r="R129" s="33">
        <v>5.7553956834532384E-2</v>
      </c>
      <c r="S129" s="33">
        <v>0.3254337706305544</v>
      </c>
      <c r="T129" s="33">
        <v>4.6550994498518745E-2</v>
      </c>
      <c r="U129" s="33">
        <v>0.22597507036590264</v>
      </c>
      <c r="V129" s="33">
        <v>4.9055086449537683E-2</v>
      </c>
      <c r="W129" s="33">
        <v>0.29875351829513463</v>
      </c>
      <c r="X129" s="33">
        <v>1.1258544431041415E-2</v>
      </c>
      <c r="Y129" s="33">
        <v>0.41495778045838355</v>
      </c>
      <c r="Z129" s="33">
        <v>0.50987066031313821</v>
      </c>
      <c r="AA129" s="33">
        <v>2.4506466984343053E-2</v>
      </c>
      <c r="AB129" s="33">
        <v>0.12321307011572498</v>
      </c>
      <c r="AC129" s="33">
        <v>0.23893805309734514</v>
      </c>
      <c r="AD129" s="33">
        <v>0.10347174948944858</v>
      </c>
    </row>
    <row r="130" spans="1:30" x14ac:dyDescent="0.35">
      <c r="A130" s="41">
        <v>2036</v>
      </c>
      <c r="B130" s="33">
        <v>1.7054984249493865E-2</v>
      </c>
      <c r="C130" s="33">
        <v>9.7543505748386578E-3</v>
      </c>
      <c r="D130" s="33">
        <v>0.95730713852405691</v>
      </c>
      <c r="E130" s="33">
        <v>6.8211751120076589E-3</v>
      </c>
      <c r="F130" s="33">
        <v>9.0623515396028396E-3</v>
      </c>
      <c r="G130" s="173">
        <v>0.18937595979338265</v>
      </c>
      <c r="H130" s="173">
        <v>0.76319279631439352</v>
      </c>
      <c r="I130" s="33">
        <v>4.7431243892223925E-2</v>
      </c>
      <c r="J130" s="33">
        <v>0.14682484500410031</v>
      </c>
      <c r="K130" s="33">
        <v>0.1226063138694036</v>
      </c>
      <c r="L130" s="33">
        <v>0.6345597188213935</v>
      </c>
      <c r="M130" s="33">
        <v>8.6009122305102478E-2</v>
      </c>
      <c r="N130" s="33">
        <v>1.0000000000000002E-2</v>
      </c>
      <c r="O130" s="33">
        <v>0.40203131612357179</v>
      </c>
      <c r="P130" s="33">
        <v>0.11383834109183248</v>
      </c>
      <c r="Q130" s="33">
        <v>5.4591620820990262E-2</v>
      </c>
      <c r="R130" s="33">
        <v>5.7553956834532384E-2</v>
      </c>
      <c r="S130" s="33">
        <v>0.3254337706305544</v>
      </c>
      <c r="T130" s="33">
        <v>4.6550994498518745E-2</v>
      </c>
      <c r="U130" s="33">
        <v>0.22597507036590264</v>
      </c>
      <c r="V130" s="33">
        <v>4.9055086449537683E-2</v>
      </c>
      <c r="W130" s="33">
        <v>0.29875351829513463</v>
      </c>
      <c r="X130" s="33">
        <v>1.1258544431041415E-2</v>
      </c>
      <c r="Y130" s="33">
        <v>0.41495778045838355</v>
      </c>
      <c r="Z130" s="33">
        <v>0.50987066031313821</v>
      </c>
      <c r="AA130" s="33">
        <v>2.4506466984343053E-2</v>
      </c>
      <c r="AB130" s="33">
        <v>0.12321307011572498</v>
      </c>
      <c r="AC130" s="33">
        <v>0.23893805309734514</v>
      </c>
      <c r="AD130" s="33">
        <v>0.10347174948944858</v>
      </c>
    </row>
    <row r="131" spans="1:30" x14ac:dyDescent="0.35">
      <c r="A131" s="41">
        <v>2046</v>
      </c>
      <c r="B131" s="33">
        <v>1.7054984249493865E-2</v>
      </c>
      <c r="C131" s="33">
        <v>9.7543505748386578E-3</v>
      </c>
      <c r="D131" s="33">
        <v>0.95730713852405691</v>
      </c>
      <c r="E131" s="33">
        <v>6.8211751120076589E-3</v>
      </c>
      <c r="F131" s="33">
        <v>9.0623515396028396E-3</v>
      </c>
      <c r="G131" s="173">
        <v>0.18937595979338265</v>
      </c>
      <c r="H131" s="173">
        <v>0.76319279631439352</v>
      </c>
      <c r="I131" s="33">
        <v>4.7431243892223925E-2</v>
      </c>
      <c r="J131" s="33">
        <v>0.17486120107298597</v>
      </c>
      <c r="K131" s="33">
        <v>0.14601811635991638</v>
      </c>
      <c r="L131" s="33">
        <v>0.5892525570819378</v>
      </c>
      <c r="M131" s="33">
        <v>7.9868125485159799E-2</v>
      </c>
      <c r="N131" s="33">
        <v>1.0000000000000002E-2</v>
      </c>
      <c r="O131" s="33">
        <v>0.40203131612357179</v>
      </c>
      <c r="P131" s="33">
        <v>0.11383834109183248</v>
      </c>
      <c r="Q131" s="33">
        <v>5.4591620820990262E-2</v>
      </c>
      <c r="R131" s="33">
        <v>5.7553956834532384E-2</v>
      </c>
      <c r="S131" s="33">
        <v>0.3254337706305544</v>
      </c>
      <c r="T131" s="33">
        <v>4.6550994498518745E-2</v>
      </c>
      <c r="U131" s="33">
        <v>0.22597507036590264</v>
      </c>
      <c r="V131" s="33">
        <v>4.9055086449537683E-2</v>
      </c>
      <c r="W131" s="33">
        <v>0.29875351829513463</v>
      </c>
      <c r="X131" s="33">
        <v>1.1258544431041415E-2</v>
      </c>
      <c r="Y131" s="33">
        <v>0.41495778045838355</v>
      </c>
      <c r="Z131" s="33">
        <v>0.50987066031313821</v>
      </c>
      <c r="AA131" s="33">
        <v>2.4506466984343053E-2</v>
      </c>
      <c r="AB131" s="33">
        <v>0.12321307011572498</v>
      </c>
      <c r="AC131" s="33">
        <v>0.23893805309734514</v>
      </c>
      <c r="AD131" s="33">
        <v>0.10347174948944858</v>
      </c>
    </row>
    <row r="132" spans="1:30" x14ac:dyDescent="0.35">
      <c r="A132" s="41">
        <v>2047</v>
      </c>
      <c r="B132" s="33">
        <v>1.7054984249493865E-2</v>
      </c>
      <c r="C132" s="33">
        <v>9.7543505748386578E-3</v>
      </c>
      <c r="D132" s="33">
        <v>0.95730713852405691</v>
      </c>
      <c r="E132" s="33">
        <v>6.8211751120076589E-3</v>
      </c>
      <c r="F132" s="33">
        <v>9.0623515396028396E-3</v>
      </c>
      <c r="G132" s="173">
        <v>0.18937595979338265</v>
      </c>
      <c r="H132" s="173">
        <v>0.76319279631439352</v>
      </c>
      <c r="I132" s="33">
        <v>4.7431243892223925E-2</v>
      </c>
      <c r="J132" s="33">
        <v>0.20387364963766949</v>
      </c>
      <c r="K132" s="33">
        <v>0.1702450063984666</v>
      </c>
      <c r="L132" s="33">
        <v>0.54236801558346037</v>
      </c>
      <c r="M132" s="33">
        <v>7.3513328380403448E-2</v>
      </c>
      <c r="N132" s="33">
        <v>1.0000000000000002E-2</v>
      </c>
      <c r="O132" s="33">
        <v>0.40203131612357179</v>
      </c>
      <c r="P132" s="33">
        <v>0.11383834109183248</v>
      </c>
      <c r="Q132" s="33">
        <v>5.4591620820990262E-2</v>
      </c>
      <c r="R132" s="33">
        <v>5.7553956834532384E-2</v>
      </c>
      <c r="S132" s="33">
        <v>0.3254337706305544</v>
      </c>
      <c r="T132" s="33">
        <v>4.6550994498518745E-2</v>
      </c>
      <c r="U132" s="33">
        <v>0.22597507036590264</v>
      </c>
      <c r="V132" s="33">
        <v>4.9055086449537683E-2</v>
      </c>
      <c r="W132" s="33">
        <v>0.29875351829513463</v>
      </c>
      <c r="X132" s="33">
        <v>1.1258544431041415E-2</v>
      </c>
      <c r="Y132" s="33">
        <v>0.41495778045838355</v>
      </c>
      <c r="Z132" s="33">
        <v>0.50987066031313821</v>
      </c>
      <c r="AA132" s="33">
        <v>2.4506466984343053E-2</v>
      </c>
      <c r="AB132" s="33">
        <v>0.12321307011572498</v>
      </c>
      <c r="AC132" s="33">
        <v>0.23893805309734514</v>
      </c>
      <c r="AD132" s="33">
        <v>0.10347174948944858</v>
      </c>
    </row>
    <row r="133" spans="1:30" x14ac:dyDescent="0.35">
      <c r="A133" s="41">
        <v>2048</v>
      </c>
      <c r="B133" s="33">
        <v>1.7054984249493865E-2</v>
      </c>
      <c r="C133" s="33">
        <v>9.7543505748386578E-3</v>
      </c>
      <c r="D133" s="33">
        <v>0.95730713852405691</v>
      </c>
      <c r="E133" s="33">
        <v>6.8211751120076589E-3</v>
      </c>
      <c r="F133" s="33">
        <v>9.0623515396028396E-3</v>
      </c>
      <c r="G133" s="173">
        <v>0.18937595979338265</v>
      </c>
      <c r="H133" s="173">
        <v>0.76319279631439352</v>
      </c>
      <c r="I133" s="33">
        <v>4.7431243892223925E-2</v>
      </c>
      <c r="J133" s="33">
        <v>0.2339140681036912</v>
      </c>
      <c r="K133" s="33">
        <v>0.1953303042927734</v>
      </c>
      <c r="L133" s="33">
        <v>0.49382225967934529</v>
      </c>
      <c r="M133" s="33">
        <v>6.6933367924190024E-2</v>
      </c>
      <c r="N133" s="33">
        <v>1.0000000000000002E-2</v>
      </c>
      <c r="O133" s="33">
        <v>0.40203131612357179</v>
      </c>
      <c r="P133" s="33">
        <v>0.11383834109183248</v>
      </c>
      <c r="Q133" s="33">
        <v>5.4591620820990262E-2</v>
      </c>
      <c r="R133" s="33">
        <v>5.7553956834532384E-2</v>
      </c>
      <c r="S133" s="33">
        <v>0.3254337706305544</v>
      </c>
      <c r="T133" s="33">
        <v>4.6550994498518745E-2</v>
      </c>
      <c r="U133" s="33">
        <v>0.22597507036590264</v>
      </c>
      <c r="V133" s="33">
        <v>4.9055086449537683E-2</v>
      </c>
      <c r="W133" s="33">
        <v>0.29875351829513463</v>
      </c>
      <c r="X133" s="33">
        <v>1.1258544431041415E-2</v>
      </c>
      <c r="Y133" s="33">
        <v>0.41495778045838355</v>
      </c>
      <c r="Z133" s="33">
        <v>0.50987066031313821</v>
      </c>
      <c r="AA133" s="33">
        <v>2.4506466984343053E-2</v>
      </c>
      <c r="AB133" s="33">
        <v>0.12321307011572498</v>
      </c>
      <c r="AC133" s="33">
        <v>0.23893805309734514</v>
      </c>
      <c r="AD133" s="33">
        <v>0.10347174948944858</v>
      </c>
    </row>
    <row r="134" spans="1:30" x14ac:dyDescent="0.35">
      <c r="A134" s="41">
        <v>2049</v>
      </c>
      <c r="B134" s="33">
        <v>1.7054984249493865E-2</v>
      </c>
      <c r="C134" s="33">
        <v>9.7543505748386578E-3</v>
      </c>
      <c r="D134" s="33">
        <v>0.95730713852405691</v>
      </c>
      <c r="E134" s="33">
        <v>6.8211751120076589E-3</v>
      </c>
      <c r="F134" s="33">
        <v>9.0623515396028396E-3</v>
      </c>
      <c r="G134" s="173">
        <v>0.18937595979338265</v>
      </c>
      <c r="H134" s="173">
        <v>0.76319279631439352</v>
      </c>
      <c r="I134" s="33">
        <v>4.7431243892223925E-2</v>
      </c>
      <c r="J134" s="33">
        <v>0.26503807642300875</v>
      </c>
      <c r="K134" s="33">
        <v>0.2213204555697294</v>
      </c>
      <c r="L134" s="33">
        <v>0.44352540671319102</v>
      </c>
      <c r="M134" s="33">
        <v>6.0116061294070718E-2</v>
      </c>
      <c r="N134" s="33">
        <v>1.0000000000000002E-2</v>
      </c>
      <c r="O134" s="33">
        <v>0.40203131612357179</v>
      </c>
      <c r="P134" s="33">
        <v>0.11383834109183248</v>
      </c>
      <c r="Q134" s="33">
        <v>5.4591620820990262E-2</v>
      </c>
      <c r="R134" s="33">
        <v>5.7553956834532384E-2</v>
      </c>
      <c r="S134" s="33">
        <v>0.3254337706305544</v>
      </c>
      <c r="T134" s="33">
        <v>4.6550994498518745E-2</v>
      </c>
      <c r="U134" s="33">
        <v>0.22597507036590264</v>
      </c>
      <c r="V134" s="33">
        <v>4.9055086449537683E-2</v>
      </c>
      <c r="W134" s="33">
        <v>0.29875351829513463</v>
      </c>
      <c r="X134" s="33">
        <v>1.1258544431041415E-2</v>
      </c>
      <c r="Y134" s="33">
        <v>0.41495778045838355</v>
      </c>
      <c r="Z134" s="33">
        <v>0.50987066031313821</v>
      </c>
      <c r="AA134" s="33">
        <v>2.4506466984343053E-2</v>
      </c>
      <c r="AB134" s="33">
        <v>0.12321307011572498</v>
      </c>
      <c r="AC134" s="33">
        <v>0.23893805309734514</v>
      </c>
      <c r="AD134" s="33">
        <v>0.10347174948944858</v>
      </c>
    </row>
    <row r="135" spans="1:30" x14ac:dyDescent="0.35">
      <c r="A135" s="41">
        <v>2050</v>
      </c>
      <c r="B135" s="33">
        <v>1.7054984249493865E-2</v>
      </c>
      <c r="C135" s="33">
        <v>9.7543505748386578E-3</v>
      </c>
      <c r="D135" s="33">
        <v>0.95730713852405691</v>
      </c>
      <c r="E135" s="33">
        <v>6.8211751120076589E-3</v>
      </c>
      <c r="F135" s="33">
        <v>9.0623515396028396E-3</v>
      </c>
      <c r="G135" s="173">
        <v>0.18937595979338265</v>
      </c>
      <c r="H135" s="173">
        <v>0.76319279631439352</v>
      </c>
      <c r="I135" s="33">
        <v>4.7431243892223925E-2</v>
      </c>
      <c r="J135" s="33">
        <v>0.29772516600300253</v>
      </c>
      <c r="K135" s="33">
        <v>0.24861586027054897</v>
      </c>
      <c r="L135" s="33">
        <v>0.39070259155297116</v>
      </c>
      <c r="M135" s="33">
        <v>5.2956382173477284E-2</v>
      </c>
      <c r="N135" s="33">
        <v>1.0000000000000002E-2</v>
      </c>
      <c r="O135" s="33">
        <v>0.40203131612357179</v>
      </c>
      <c r="P135" s="33">
        <v>0.11383834109183248</v>
      </c>
      <c r="Q135" s="33">
        <v>5.4591620820990262E-2</v>
      </c>
      <c r="R135" s="33">
        <v>5.7553956834532384E-2</v>
      </c>
      <c r="S135" s="33">
        <v>0.3254337706305544</v>
      </c>
      <c r="T135" s="33">
        <v>4.6550994498518745E-2</v>
      </c>
      <c r="U135" s="33">
        <v>0.22597507036590264</v>
      </c>
      <c r="V135" s="33">
        <v>4.9055086449537683E-2</v>
      </c>
      <c r="W135" s="33">
        <v>0.29875351829513463</v>
      </c>
      <c r="X135" s="33">
        <v>1.1258544431041415E-2</v>
      </c>
      <c r="Y135" s="33">
        <v>0.41495778045838355</v>
      </c>
      <c r="Z135" s="33">
        <v>0.50987066031313821</v>
      </c>
      <c r="AA135" s="33">
        <v>2.4506466984343053E-2</v>
      </c>
      <c r="AB135" s="33">
        <v>0.12321307011572498</v>
      </c>
      <c r="AC135" s="33">
        <v>0.23893805309734514</v>
      </c>
      <c r="AD135" s="33">
        <v>0.10347174948944858</v>
      </c>
    </row>
    <row r="136" spans="1:30" x14ac:dyDescent="0.35">
      <c r="A136" s="41">
        <v>2042</v>
      </c>
      <c r="B136" s="33">
        <v>1.7054984249493865E-2</v>
      </c>
      <c r="C136" s="33">
        <v>9.7543505748386578E-3</v>
      </c>
      <c r="D136" s="33">
        <v>0.95730713852405691</v>
      </c>
      <c r="E136" s="33">
        <v>6.8211751120076589E-3</v>
      </c>
      <c r="F136" s="33">
        <v>9.0623515396028396E-3</v>
      </c>
      <c r="G136" s="173">
        <v>0.18937595979338265</v>
      </c>
      <c r="H136" s="173">
        <v>0.76319279631439352</v>
      </c>
      <c r="I136" s="33">
        <v>4.7431243892223925E-2</v>
      </c>
      <c r="J136" s="33">
        <v>0.33143161737517934</v>
      </c>
      <c r="K136" s="33">
        <v>0.2767624846122636</v>
      </c>
      <c r="L136" s="33">
        <v>0.33623247281749413</v>
      </c>
      <c r="M136" s="33">
        <v>4.5573425195062869E-2</v>
      </c>
      <c r="N136" s="33">
        <v>1.0000000000000002E-2</v>
      </c>
      <c r="O136" s="33">
        <v>0.40203131612357179</v>
      </c>
      <c r="P136" s="33">
        <v>0.11383834109183248</v>
      </c>
      <c r="Q136" s="33">
        <v>5.4591620820990262E-2</v>
      </c>
      <c r="R136" s="33">
        <v>5.7553956834532384E-2</v>
      </c>
      <c r="S136" s="33">
        <v>0.3254337706305544</v>
      </c>
      <c r="T136" s="33">
        <v>4.6550994498518745E-2</v>
      </c>
      <c r="U136" s="33">
        <v>0.22597507036590264</v>
      </c>
      <c r="V136" s="33">
        <v>4.9055086449537683E-2</v>
      </c>
      <c r="W136" s="33">
        <v>0.29875351829513463</v>
      </c>
      <c r="X136" s="33">
        <v>1.1258544431041415E-2</v>
      </c>
      <c r="Y136" s="33">
        <v>0.41495778045838355</v>
      </c>
      <c r="Z136" s="33">
        <v>0.50987066031313821</v>
      </c>
      <c r="AA136" s="33">
        <v>2.4506466984343053E-2</v>
      </c>
      <c r="AB136" s="33">
        <v>0.12321307011572498</v>
      </c>
      <c r="AC136" s="33">
        <v>0.23893805309734514</v>
      </c>
      <c r="AD136" s="33">
        <v>0.10347174948944858</v>
      </c>
    </row>
    <row r="137" spans="1:30" x14ac:dyDescent="0.35">
      <c r="A137" s="41">
        <v>2043</v>
      </c>
      <c r="B137" s="33">
        <v>1.7054984249493865E-2</v>
      </c>
      <c r="C137" s="33">
        <v>9.7543505748386578E-3</v>
      </c>
      <c r="D137" s="33">
        <v>0.95730713852405691</v>
      </c>
      <c r="E137" s="33">
        <v>6.8211751120076589E-3</v>
      </c>
      <c r="F137" s="33">
        <v>9.0623515396028396E-3</v>
      </c>
      <c r="G137" s="173">
        <v>0.18937595979338265</v>
      </c>
      <c r="H137" s="173">
        <v>0.76319279631439352</v>
      </c>
      <c r="I137" s="33">
        <v>4.7431243892223925E-2</v>
      </c>
      <c r="J137" s="33">
        <v>0.36620586973209035</v>
      </c>
      <c r="K137" s="33">
        <v>0.30580077781751935</v>
      </c>
      <c r="L137" s="33">
        <v>0.28003677206265476</v>
      </c>
      <c r="M137" s="33">
        <v>3.7956580387735389E-2</v>
      </c>
      <c r="N137" s="33">
        <v>1.0000000000000002E-2</v>
      </c>
      <c r="O137" s="33">
        <v>0.40203131612357179</v>
      </c>
      <c r="P137" s="33">
        <v>0.11383834109183248</v>
      </c>
      <c r="Q137" s="33">
        <v>5.4591620820990262E-2</v>
      </c>
      <c r="R137" s="33">
        <v>5.7553956834532384E-2</v>
      </c>
      <c r="S137" s="33">
        <v>0.3254337706305544</v>
      </c>
      <c r="T137" s="33">
        <v>4.6550994498518745E-2</v>
      </c>
      <c r="U137" s="33">
        <v>0.22597507036590264</v>
      </c>
      <c r="V137" s="33">
        <v>4.9055086449537683E-2</v>
      </c>
      <c r="W137" s="33">
        <v>0.29875351829513463</v>
      </c>
      <c r="X137" s="33">
        <v>1.1258544431041415E-2</v>
      </c>
      <c r="Y137" s="33">
        <v>0.41495778045838355</v>
      </c>
      <c r="Z137" s="33">
        <v>0.50987066031313821</v>
      </c>
      <c r="AA137" s="33">
        <v>2.4506466984343053E-2</v>
      </c>
      <c r="AB137" s="33">
        <v>0.12321307011572498</v>
      </c>
      <c r="AC137" s="33">
        <v>0.23893805309734514</v>
      </c>
      <c r="AD137" s="33">
        <v>0.10347174948944858</v>
      </c>
    </row>
    <row r="138" spans="1:30" x14ac:dyDescent="0.35">
      <c r="A138" s="41">
        <v>2044</v>
      </c>
      <c r="B138" s="33">
        <v>1.7054984249493865E-2</v>
      </c>
      <c r="C138" s="33">
        <v>9.7543505748386578E-3</v>
      </c>
      <c r="D138" s="33">
        <v>0.95730713852405691</v>
      </c>
      <c r="E138" s="33">
        <v>6.8211751120076589E-3</v>
      </c>
      <c r="F138" s="33">
        <v>9.0623515396028396E-3</v>
      </c>
      <c r="G138" s="173">
        <v>0.18937595979338265</v>
      </c>
      <c r="H138" s="173">
        <v>0.76319279631439352</v>
      </c>
      <c r="I138" s="33">
        <v>4.7431243892223925E-2</v>
      </c>
      <c r="J138" s="33">
        <v>0.40209948071308343</v>
      </c>
      <c r="K138" s="33">
        <v>0.33577379317278166</v>
      </c>
      <c r="L138" s="33">
        <v>0.22203217138868439</v>
      </c>
      <c r="M138" s="33">
        <v>3.0094554725450379E-2</v>
      </c>
      <c r="N138" s="33">
        <v>1.0000000000000002E-2</v>
      </c>
      <c r="O138" s="33">
        <v>0.40203131612357179</v>
      </c>
      <c r="P138" s="33">
        <v>0.11383834109183248</v>
      </c>
      <c r="Q138" s="33">
        <v>5.4591620820990262E-2</v>
      </c>
      <c r="R138" s="33">
        <v>5.7553956834532384E-2</v>
      </c>
      <c r="S138" s="33">
        <v>0.3254337706305544</v>
      </c>
      <c r="T138" s="33">
        <v>4.6550994498518745E-2</v>
      </c>
      <c r="U138" s="33">
        <v>0.22597507036590264</v>
      </c>
      <c r="V138" s="33">
        <v>4.9055086449537683E-2</v>
      </c>
      <c r="W138" s="33">
        <v>0.29875351829513463</v>
      </c>
      <c r="X138" s="33">
        <v>1.1258544431041415E-2</v>
      </c>
      <c r="Y138" s="33">
        <v>0.41495778045838355</v>
      </c>
      <c r="Z138" s="33">
        <v>0.50987066031313821</v>
      </c>
      <c r="AA138" s="33">
        <v>2.4506466984343053E-2</v>
      </c>
      <c r="AB138" s="33">
        <v>0.12321307011572498</v>
      </c>
      <c r="AC138" s="33">
        <v>0.23893805309734514</v>
      </c>
      <c r="AD138" s="33">
        <v>0.10347174948944858</v>
      </c>
    </row>
    <row r="139" spans="1:30" x14ac:dyDescent="0.35">
      <c r="A139" s="41">
        <v>2045</v>
      </c>
      <c r="B139" s="33">
        <v>1.7054984249493865E-2</v>
      </c>
      <c r="C139" s="33">
        <v>9.7543505748386578E-3</v>
      </c>
      <c r="D139" s="33">
        <v>0.95730713852405691</v>
      </c>
      <c r="E139" s="33">
        <v>6.8211751120076589E-3</v>
      </c>
      <c r="F139" s="33">
        <v>9.0623515396028396E-3</v>
      </c>
      <c r="G139" s="173">
        <v>0.18937595979338265</v>
      </c>
      <c r="H139" s="173">
        <v>0.76319279631439352</v>
      </c>
      <c r="I139" s="33">
        <v>4.7431243892223925E-2</v>
      </c>
      <c r="J139" s="33">
        <v>0.43916738146084711</v>
      </c>
      <c r="K139" s="33">
        <v>0.36672740101369777</v>
      </c>
      <c r="L139" s="33">
        <v>0.16212990126504168</v>
      </c>
      <c r="M139" s="33">
        <v>2.197531626041346E-2</v>
      </c>
      <c r="N139" s="33">
        <v>1.0000000000000002E-2</v>
      </c>
      <c r="O139" s="33">
        <v>0.40203131612357179</v>
      </c>
      <c r="P139" s="33">
        <v>0.11383834109183248</v>
      </c>
      <c r="Q139" s="33">
        <v>5.4591620820990262E-2</v>
      </c>
      <c r="R139" s="33">
        <v>5.7553956834532384E-2</v>
      </c>
      <c r="S139" s="33">
        <v>0.3254337706305544</v>
      </c>
      <c r="T139" s="33">
        <v>4.6550994498518745E-2</v>
      </c>
      <c r="U139" s="33">
        <v>0.22597507036590264</v>
      </c>
      <c r="V139" s="33">
        <v>4.9055086449537683E-2</v>
      </c>
      <c r="W139" s="33">
        <v>0.29875351829513463</v>
      </c>
      <c r="X139" s="33">
        <v>1.1258544431041415E-2</v>
      </c>
      <c r="Y139" s="33">
        <v>0.41495778045838355</v>
      </c>
      <c r="Z139" s="33">
        <v>0.50987066031313821</v>
      </c>
      <c r="AA139" s="33">
        <v>2.4506466984343053E-2</v>
      </c>
      <c r="AB139" s="33">
        <v>0.12321307011572498</v>
      </c>
      <c r="AC139" s="33">
        <v>0.23893805309734514</v>
      </c>
      <c r="AD139" s="33">
        <v>0.10347174948944858</v>
      </c>
    </row>
    <row r="140" spans="1:30" x14ac:dyDescent="0.35">
      <c r="A140" s="41">
        <v>2046</v>
      </c>
      <c r="B140" s="33">
        <v>1.7054984249493865E-2</v>
      </c>
      <c r="C140" s="33">
        <v>9.7543505748386578E-3</v>
      </c>
      <c r="D140" s="33">
        <v>0.95730713852405691</v>
      </c>
      <c r="E140" s="33">
        <v>6.8211751120076589E-3</v>
      </c>
      <c r="F140" s="33">
        <v>9.0623515396028396E-3</v>
      </c>
      <c r="G140" s="173">
        <v>0.18937595979338265</v>
      </c>
      <c r="H140" s="173">
        <v>0.76319279631439352</v>
      </c>
      <c r="I140" s="33">
        <v>4.7431243892223925E-2</v>
      </c>
      <c r="J140" s="33">
        <v>0.43916738146084711</v>
      </c>
      <c r="K140" s="33">
        <v>0.36672740101369777</v>
      </c>
      <c r="L140" s="33">
        <v>0.16212990126504168</v>
      </c>
      <c r="M140" s="33">
        <v>2.197531626041346E-2</v>
      </c>
      <c r="N140" s="33">
        <v>1.0000000000000002E-2</v>
      </c>
      <c r="O140" s="33">
        <v>0.40203131612357179</v>
      </c>
      <c r="P140" s="33">
        <v>0.11383834109183248</v>
      </c>
      <c r="Q140" s="33">
        <v>5.4591620820990262E-2</v>
      </c>
      <c r="R140" s="33">
        <v>5.7553956834532384E-2</v>
      </c>
      <c r="S140" s="33">
        <v>0.3254337706305544</v>
      </c>
      <c r="T140" s="33">
        <v>4.6550994498518745E-2</v>
      </c>
      <c r="U140" s="33">
        <v>0.22597507036590264</v>
      </c>
      <c r="V140" s="33">
        <v>4.9055086449537683E-2</v>
      </c>
      <c r="W140" s="33">
        <v>0.29875351829513463</v>
      </c>
      <c r="X140" s="33">
        <v>1.1258544431041415E-2</v>
      </c>
      <c r="Y140" s="33">
        <v>0.41495778045838355</v>
      </c>
      <c r="Z140" s="33">
        <v>0.50987066031313821</v>
      </c>
      <c r="AA140" s="33">
        <v>2.4506466984343053E-2</v>
      </c>
      <c r="AB140" s="33">
        <v>0.12321307011572498</v>
      </c>
      <c r="AC140" s="33">
        <v>0.23893805309734514</v>
      </c>
      <c r="AD140" s="33">
        <v>0.10347174948944858</v>
      </c>
    </row>
    <row r="141" spans="1:30" x14ac:dyDescent="0.35">
      <c r="A141" s="41">
        <v>2047</v>
      </c>
      <c r="B141" s="33">
        <v>1.7054984249493865E-2</v>
      </c>
      <c r="C141" s="33">
        <v>9.7543505748386578E-3</v>
      </c>
      <c r="D141" s="33">
        <v>0.95730713852405691</v>
      </c>
      <c r="E141" s="33">
        <v>6.8211751120076589E-3</v>
      </c>
      <c r="F141" s="33">
        <v>9.0623515396028396E-3</v>
      </c>
      <c r="G141" s="173">
        <v>0.18937595979338265</v>
      </c>
      <c r="H141" s="173">
        <v>0.76319279631439352</v>
      </c>
      <c r="I141" s="33">
        <v>4.7431243892223925E-2</v>
      </c>
      <c r="J141" s="33">
        <v>0.43916738146084711</v>
      </c>
      <c r="K141" s="33">
        <v>0.36672740101369777</v>
      </c>
      <c r="L141" s="33">
        <v>0.16212990126504168</v>
      </c>
      <c r="M141" s="33">
        <v>2.197531626041346E-2</v>
      </c>
      <c r="N141" s="33">
        <v>1.0000000000000002E-2</v>
      </c>
      <c r="O141" s="33">
        <v>0.40203131612357179</v>
      </c>
      <c r="P141" s="33">
        <v>0.11383834109183248</v>
      </c>
      <c r="Q141" s="33">
        <v>5.4591620820990262E-2</v>
      </c>
      <c r="R141" s="33">
        <v>5.7553956834532384E-2</v>
      </c>
      <c r="S141" s="33">
        <v>0.3254337706305544</v>
      </c>
      <c r="T141" s="33">
        <v>4.6550994498518745E-2</v>
      </c>
      <c r="U141" s="33">
        <v>0.22597507036590264</v>
      </c>
      <c r="V141" s="33">
        <v>4.9055086449537683E-2</v>
      </c>
      <c r="W141" s="33">
        <v>0.29875351829513463</v>
      </c>
      <c r="X141" s="33">
        <v>1.1258544431041415E-2</v>
      </c>
      <c r="Y141" s="33">
        <v>0.41495778045838355</v>
      </c>
      <c r="Z141" s="33">
        <v>0.50987066031313821</v>
      </c>
      <c r="AA141" s="33">
        <v>2.4506466984343053E-2</v>
      </c>
      <c r="AB141" s="33">
        <v>0.12321307011572498</v>
      </c>
      <c r="AC141" s="33">
        <v>0.23893805309734514</v>
      </c>
      <c r="AD141" s="33">
        <v>0.10347174948944858</v>
      </c>
    </row>
    <row r="142" spans="1:30" x14ac:dyDescent="0.35">
      <c r="A142" s="41">
        <v>2048</v>
      </c>
      <c r="B142" s="33">
        <v>1.7054984249493865E-2</v>
      </c>
      <c r="C142" s="33">
        <v>9.7543505748386578E-3</v>
      </c>
      <c r="D142" s="33">
        <v>0.95730713852405691</v>
      </c>
      <c r="E142" s="33">
        <v>6.8211751120076589E-3</v>
      </c>
      <c r="F142" s="33">
        <v>9.0623515396028396E-3</v>
      </c>
      <c r="G142" s="173">
        <v>0.18937595979338265</v>
      </c>
      <c r="H142" s="173">
        <v>0.76319279631439352</v>
      </c>
      <c r="I142" s="33">
        <v>4.7431243892223925E-2</v>
      </c>
      <c r="J142" s="33">
        <v>0.43916738146084711</v>
      </c>
      <c r="K142" s="33">
        <v>0.36672740101369777</v>
      </c>
      <c r="L142" s="33">
        <v>0.16212990126504168</v>
      </c>
      <c r="M142" s="33">
        <v>2.197531626041346E-2</v>
      </c>
      <c r="N142" s="33">
        <v>1.0000000000000002E-2</v>
      </c>
      <c r="O142" s="33">
        <v>0.40203131612357179</v>
      </c>
      <c r="P142" s="33">
        <v>0.11383834109183248</v>
      </c>
      <c r="Q142" s="33">
        <v>5.4591620820990262E-2</v>
      </c>
      <c r="R142" s="33">
        <v>5.7553956834532384E-2</v>
      </c>
      <c r="S142" s="33">
        <v>0.3254337706305544</v>
      </c>
      <c r="T142" s="33">
        <v>4.6550994498518745E-2</v>
      </c>
      <c r="U142" s="33">
        <v>0.22597507036590264</v>
      </c>
      <c r="V142" s="33">
        <v>4.9055086449537683E-2</v>
      </c>
      <c r="W142" s="33">
        <v>0.29875351829513463</v>
      </c>
      <c r="X142" s="33">
        <v>1.1258544431041415E-2</v>
      </c>
      <c r="Y142" s="33">
        <v>0.41495778045838355</v>
      </c>
      <c r="Z142" s="33">
        <v>0.50987066031313821</v>
      </c>
      <c r="AA142" s="33">
        <v>2.4506466984343053E-2</v>
      </c>
      <c r="AB142" s="33">
        <v>0.12321307011572498</v>
      </c>
      <c r="AC142" s="33">
        <v>0.23893805309734514</v>
      </c>
      <c r="AD142" s="33">
        <v>0.10347174948944858</v>
      </c>
    </row>
    <row r="143" spans="1:30" x14ac:dyDescent="0.35">
      <c r="A143" s="41">
        <v>2049</v>
      </c>
      <c r="B143" s="33">
        <v>1.7054984249493865E-2</v>
      </c>
      <c r="C143" s="33">
        <v>9.7543505748386578E-3</v>
      </c>
      <c r="D143" s="33">
        <v>0.95730713852405691</v>
      </c>
      <c r="E143" s="33">
        <v>6.8211751120076589E-3</v>
      </c>
      <c r="F143" s="33">
        <v>9.0623515396028396E-3</v>
      </c>
      <c r="G143" s="173">
        <v>0.18937595979338265</v>
      </c>
      <c r="H143" s="173">
        <v>0.76319279631439352</v>
      </c>
      <c r="I143" s="33">
        <v>4.7431243892223925E-2</v>
      </c>
      <c r="J143" s="33">
        <v>0.43916738146084711</v>
      </c>
      <c r="K143" s="33">
        <v>0.36672740101369777</v>
      </c>
      <c r="L143" s="33">
        <v>0.16212990126504168</v>
      </c>
      <c r="M143" s="33">
        <v>2.197531626041346E-2</v>
      </c>
      <c r="N143" s="33">
        <v>1.0000000000000002E-2</v>
      </c>
      <c r="O143" s="33">
        <v>0.40203131612357179</v>
      </c>
      <c r="P143" s="33">
        <v>0.11383834109183248</v>
      </c>
      <c r="Q143" s="33">
        <v>5.4591620820990262E-2</v>
      </c>
      <c r="R143" s="33">
        <v>5.7553956834532384E-2</v>
      </c>
      <c r="S143" s="33">
        <v>0.3254337706305544</v>
      </c>
      <c r="T143" s="33">
        <v>4.6550994498518745E-2</v>
      </c>
      <c r="U143" s="33">
        <v>0.22597507036590264</v>
      </c>
      <c r="V143" s="33">
        <v>4.9055086449537683E-2</v>
      </c>
      <c r="W143" s="33">
        <v>0.29875351829513463</v>
      </c>
      <c r="X143" s="33">
        <v>1.1258544431041415E-2</v>
      </c>
      <c r="Y143" s="33">
        <v>0.41495778045838355</v>
      </c>
      <c r="Z143" s="33">
        <v>0.50987066031313821</v>
      </c>
      <c r="AA143" s="33">
        <v>2.4506466984343053E-2</v>
      </c>
      <c r="AB143" s="33">
        <v>0.12321307011572498</v>
      </c>
      <c r="AC143" s="33">
        <v>0.23893805309734514</v>
      </c>
      <c r="AD143" s="33">
        <v>0.10347174948944858</v>
      </c>
    </row>
    <row r="144" spans="1:30" x14ac:dyDescent="0.35">
      <c r="A144" s="41">
        <v>2050</v>
      </c>
      <c r="B144" s="33">
        <v>1.7054984249493865E-2</v>
      </c>
      <c r="C144" s="33">
        <v>9.7543505748386578E-3</v>
      </c>
      <c r="D144" s="33">
        <v>0.95730713852405691</v>
      </c>
      <c r="E144" s="33">
        <v>6.8211751120076589E-3</v>
      </c>
      <c r="F144" s="33">
        <v>9.0623515396028396E-3</v>
      </c>
      <c r="G144" s="173">
        <v>0.18937595979338265</v>
      </c>
      <c r="H144" s="173">
        <v>0.76319279631439352</v>
      </c>
      <c r="I144" s="33">
        <v>4.7431243892223925E-2</v>
      </c>
      <c r="J144" s="33">
        <v>0.43916738146084711</v>
      </c>
      <c r="K144" s="33">
        <v>0.36672740101369777</v>
      </c>
      <c r="L144" s="33">
        <v>0.16212990126504168</v>
      </c>
      <c r="M144" s="33">
        <v>2.197531626041346E-2</v>
      </c>
      <c r="N144" s="33">
        <v>1.0000000000000002E-2</v>
      </c>
      <c r="O144" s="33">
        <v>0.40203131612357179</v>
      </c>
      <c r="P144" s="33">
        <v>0.11383834109183248</v>
      </c>
      <c r="Q144" s="33">
        <v>5.4591620820990262E-2</v>
      </c>
      <c r="R144" s="33">
        <v>5.7553956834532384E-2</v>
      </c>
      <c r="S144" s="33">
        <v>0.3254337706305544</v>
      </c>
      <c r="T144" s="33">
        <v>4.6550994498518745E-2</v>
      </c>
      <c r="U144" s="33">
        <v>0.22597507036590264</v>
      </c>
      <c r="V144" s="33">
        <v>4.9055086449537683E-2</v>
      </c>
      <c r="W144" s="33">
        <v>0.29875351829513463</v>
      </c>
      <c r="X144" s="33">
        <v>1.1258544431041415E-2</v>
      </c>
      <c r="Y144" s="33">
        <v>0.41495778045838355</v>
      </c>
      <c r="Z144" s="33">
        <v>0.50987066031313821</v>
      </c>
      <c r="AA144" s="33">
        <v>2.4506466984343053E-2</v>
      </c>
      <c r="AB144" s="33">
        <v>0.12321307011572498</v>
      </c>
      <c r="AC144" s="33">
        <v>0.23893805309734514</v>
      </c>
      <c r="AD144" s="33">
        <v>0.10347174948944858</v>
      </c>
    </row>
  </sheetData>
  <mergeCells count="6">
    <mergeCell ref="Z111:AD111"/>
    <mergeCell ref="B111:F111"/>
    <mergeCell ref="G111:I111"/>
    <mergeCell ref="J111:N111"/>
    <mergeCell ref="O111:T111"/>
    <mergeCell ref="U111:Y111"/>
  </mergeCells>
  <phoneticPr fontId="6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40E9-41EA-446F-868F-AD5980E1A2FC}">
  <dimension ref="A1:CS144"/>
  <sheetViews>
    <sheetView topLeftCell="A109" zoomScale="68" zoomScaleNormal="85" workbookViewId="0">
      <pane xSplit="1" topLeftCell="L1" activePane="topRight" state="frozen"/>
      <selection activeCell="J108" sqref="J108"/>
      <selection pane="topRight" activeCell="B114" sqref="B114:AD144"/>
    </sheetView>
  </sheetViews>
  <sheetFormatPr defaultRowHeight="14.5" x14ac:dyDescent="0.35"/>
  <cols>
    <col min="1" max="1" width="41.6328125" bestFit="1" customWidth="1"/>
    <col min="2" max="2" width="15.6328125" bestFit="1" customWidth="1"/>
    <col min="3" max="3" width="14.90625" bestFit="1" customWidth="1"/>
    <col min="4" max="4" width="12.6328125" bestFit="1" customWidth="1"/>
    <col min="5" max="5" width="16.36328125" bestFit="1" customWidth="1"/>
    <col min="6" max="6" width="13.36328125" bestFit="1" customWidth="1"/>
    <col min="7" max="7" width="15.6328125" bestFit="1" customWidth="1"/>
    <col min="8" max="8" width="12.6328125" bestFit="1" customWidth="1"/>
    <col min="9" max="9" width="12.453125" bestFit="1" customWidth="1"/>
    <col min="10" max="10" width="15.6328125" bestFit="1" customWidth="1"/>
    <col min="11" max="11" width="15.08984375" bestFit="1" customWidth="1"/>
    <col min="12" max="12" width="12.6328125" bestFit="1" customWidth="1"/>
    <col min="13" max="14" width="12.453125" bestFit="1" customWidth="1"/>
    <col min="15" max="15" width="15.6328125" bestFit="1" customWidth="1"/>
    <col min="16" max="16" width="13.36328125" bestFit="1" customWidth="1"/>
    <col min="17" max="17" width="12.6328125" bestFit="1" customWidth="1"/>
    <col min="18" max="18" width="16.36328125" bestFit="1" customWidth="1"/>
    <col min="19" max="19" width="12.453125" bestFit="1" customWidth="1"/>
    <col min="20" max="20" width="14.90625" bestFit="1" customWidth="1"/>
    <col min="21" max="21" width="15.6328125" bestFit="1" customWidth="1"/>
    <col min="22" max="22" width="12.453125" bestFit="1" customWidth="1"/>
    <col min="23" max="23" width="14.90625" bestFit="1" customWidth="1"/>
    <col min="24" max="24" width="12.6328125" bestFit="1" customWidth="1"/>
    <col min="25" max="25" width="12.453125" bestFit="1" customWidth="1"/>
    <col min="26" max="26" width="15.6328125" bestFit="1" customWidth="1"/>
    <col min="27" max="27" width="12.453125" bestFit="1" customWidth="1"/>
    <col min="28" max="28" width="12.6328125" bestFit="1" customWidth="1"/>
    <col min="29" max="29" width="12.453125" bestFit="1" customWidth="1"/>
    <col min="30" max="30" width="14.90625" bestFit="1" customWidth="1"/>
    <col min="66" max="66" width="44.453125" bestFit="1" customWidth="1"/>
  </cols>
  <sheetData>
    <row r="1" spans="1:63" ht="20" thickBot="1" x14ac:dyDescent="0.5">
      <c r="A1" s="58" t="s">
        <v>160</v>
      </c>
    </row>
    <row r="2" spans="1:63" ht="15" thickTop="1" x14ac:dyDescent="0.35">
      <c r="A2" t="s">
        <v>122</v>
      </c>
    </row>
    <row r="3" spans="1:63" x14ac:dyDescent="0.35">
      <c r="A3" t="s">
        <v>123</v>
      </c>
    </row>
    <row r="4" spans="1:63" x14ac:dyDescent="0.35">
      <c r="A4" t="s">
        <v>124</v>
      </c>
    </row>
    <row r="5" spans="1:63" x14ac:dyDescent="0.35">
      <c r="A5" t="s">
        <v>125</v>
      </c>
    </row>
    <row r="7" spans="1:63" x14ac:dyDescent="0.35">
      <c r="A7" s="125" t="s">
        <v>52</v>
      </c>
      <c r="B7" s="118" t="s">
        <v>16</v>
      </c>
      <c r="C7" s="118" t="s">
        <v>17</v>
      </c>
      <c r="D7" s="118" t="s">
        <v>18</v>
      </c>
      <c r="E7" s="118" t="s">
        <v>19</v>
      </c>
      <c r="F7" s="118" t="s">
        <v>20</v>
      </c>
      <c r="G7" s="118" t="s">
        <v>21</v>
      </c>
      <c r="H7" s="118" t="s">
        <v>22</v>
      </c>
      <c r="I7" s="118" t="s">
        <v>23</v>
      </c>
      <c r="J7" s="118" t="s">
        <v>24</v>
      </c>
      <c r="K7" s="118" t="s">
        <v>25</v>
      </c>
      <c r="L7" s="118" t="s">
        <v>26</v>
      </c>
      <c r="M7" s="118" t="s">
        <v>37</v>
      </c>
      <c r="N7" s="118" t="s">
        <v>54</v>
      </c>
      <c r="O7" s="118" t="s">
        <v>55</v>
      </c>
      <c r="P7" s="118" t="s">
        <v>56</v>
      </c>
      <c r="Q7" s="118" t="s">
        <v>57</v>
      </c>
      <c r="R7" s="118" t="s">
        <v>58</v>
      </c>
      <c r="S7" s="118" t="s">
        <v>59</v>
      </c>
      <c r="T7" s="118" t="s">
        <v>60</v>
      </c>
      <c r="U7" s="118" t="s">
        <v>61</v>
      </c>
      <c r="V7" s="118" t="s">
        <v>62</v>
      </c>
      <c r="W7" s="118" t="s">
        <v>85</v>
      </c>
      <c r="X7" s="118" t="s">
        <v>86</v>
      </c>
      <c r="Y7" s="118" t="s">
        <v>87</v>
      </c>
      <c r="Z7" s="118" t="s">
        <v>88</v>
      </c>
      <c r="AA7" s="118" t="s">
        <v>89</v>
      </c>
      <c r="AB7" s="118" t="s">
        <v>126</v>
      </c>
      <c r="AC7" s="118" t="s">
        <v>127</v>
      </c>
      <c r="AD7" s="118" t="s">
        <v>128</v>
      </c>
      <c r="AE7" s="118" t="s">
        <v>129</v>
      </c>
      <c r="AF7" s="118" t="s">
        <v>118</v>
      </c>
      <c r="AG7" s="118" t="s">
        <v>38</v>
      </c>
      <c r="AH7" s="118" t="s">
        <v>40</v>
      </c>
      <c r="AI7" s="118" t="s">
        <v>41</v>
      </c>
      <c r="AJ7" s="118" t="s">
        <v>42</v>
      </c>
      <c r="AK7" s="118" t="s">
        <v>43</v>
      </c>
      <c r="AL7" s="118" t="s">
        <v>44</v>
      </c>
      <c r="AM7" s="118" t="s">
        <v>45</v>
      </c>
      <c r="AN7" s="118" t="s">
        <v>46</v>
      </c>
      <c r="AO7" s="118" t="s">
        <v>47</v>
      </c>
      <c r="AP7" s="118" t="s">
        <v>48</v>
      </c>
      <c r="AQ7" s="118" t="s">
        <v>39</v>
      </c>
      <c r="AR7" s="119" t="s">
        <v>90</v>
      </c>
      <c r="AS7" s="119" t="s">
        <v>91</v>
      </c>
      <c r="AT7" s="119" t="s">
        <v>92</v>
      </c>
      <c r="AU7" s="119" t="s">
        <v>93</v>
      </c>
      <c r="AV7" s="119" t="s">
        <v>94</v>
      </c>
      <c r="AW7" s="119" t="s">
        <v>95</v>
      </c>
      <c r="AX7" s="119" t="s">
        <v>96</v>
      </c>
      <c r="AY7" s="119" t="s">
        <v>97</v>
      </c>
      <c r="AZ7" s="119" t="s">
        <v>98</v>
      </c>
      <c r="BA7" s="119" t="s">
        <v>99</v>
      </c>
      <c r="BB7" s="119" t="s">
        <v>100</v>
      </c>
      <c r="BC7" s="119" t="s">
        <v>101</v>
      </c>
      <c r="BD7" s="119" t="s">
        <v>102</v>
      </c>
      <c r="BE7" s="119" t="s">
        <v>103</v>
      </c>
      <c r="BF7" s="120" t="s">
        <v>104</v>
      </c>
      <c r="BG7" s="120">
        <v>20.46</v>
      </c>
      <c r="BH7" s="120">
        <v>20.47</v>
      </c>
      <c r="BI7" s="120">
        <v>20.48</v>
      </c>
      <c r="BJ7" s="120">
        <v>20.49</v>
      </c>
      <c r="BK7" s="120">
        <v>20.5</v>
      </c>
    </row>
    <row r="8" spans="1:63" x14ac:dyDescent="0.35">
      <c r="A8" s="126" t="s">
        <v>4</v>
      </c>
      <c r="B8" s="127">
        <f>'Initial demand info'!F9</f>
        <v>356529.17533000006</v>
      </c>
      <c r="C8" s="128">
        <f>B8+($G8-$B8)/5</f>
        <v>354089.40575045662</v>
      </c>
      <c r="D8" s="128">
        <f t="shared" ref="D8:F8" si="0">C8+($G8-$B8)/5</f>
        <v>351649.63617091317</v>
      </c>
      <c r="E8" s="128">
        <f t="shared" si="0"/>
        <v>349209.86659136973</v>
      </c>
      <c r="F8" s="128">
        <f t="shared" si="0"/>
        <v>346770.09701182629</v>
      </c>
      <c r="G8" s="127">
        <f>'Initial demand info'!K33</f>
        <v>344330.32743228285</v>
      </c>
      <c r="H8" s="128">
        <f>G8+($L8-$G8)/5</f>
        <v>339718.28746985708</v>
      </c>
      <c r="I8" s="128">
        <f t="shared" ref="I8:K8" si="1">H8+($L8-$G8)/5</f>
        <v>335106.24750743131</v>
      </c>
      <c r="J8" s="128">
        <f t="shared" si="1"/>
        <v>330494.20754500554</v>
      </c>
      <c r="K8" s="128">
        <f t="shared" si="1"/>
        <v>325882.16758257977</v>
      </c>
      <c r="L8" s="127">
        <f>'Initial demand info'!L33</f>
        <v>321270.12762015389</v>
      </c>
      <c r="M8" s="128">
        <f>L8+($Q8-$L8)/5</f>
        <v>319038.39765113703</v>
      </c>
      <c r="N8" s="128">
        <f t="shared" ref="N8:P8" si="2">M8+($Q8-$L8)/5</f>
        <v>316806.66768212017</v>
      </c>
      <c r="O8" s="128">
        <f t="shared" si="2"/>
        <v>314574.93771310331</v>
      </c>
      <c r="P8" s="128">
        <f t="shared" si="2"/>
        <v>312343.20774408645</v>
      </c>
      <c r="Q8" s="127">
        <f>'Initial demand info'!M33</f>
        <v>310111.47777506959</v>
      </c>
      <c r="R8" s="128">
        <f>Q8+($V8-$Q8)/5</f>
        <v>307655.50678473111</v>
      </c>
      <c r="S8" s="128">
        <f t="shared" ref="S8:T8" si="3">R8+($V8-$Q8)/5</f>
        <v>305199.53579439264</v>
      </c>
      <c r="T8" s="128">
        <f t="shared" si="3"/>
        <v>302743.56480405416</v>
      </c>
      <c r="U8" s="128">
        <f>T8+($V8-$Q8)/5</f>
        <v>300287.59381371568</v>
      </c>
      <c r="V8" s="127">
        <f>'Initial demand info'!N33</f>
        <v>297831.6228233772</v>
      </c>
      <c r="W8" s="128">
        <f>V8+($AA8-$V8)/5</f>
        <v>295253.191391712</v>
      </c>
      <c r="X8" s="128">
        <f t="shared" ref="X8:Z8" si="4">W8+($AA8-$V8)/5</f>
        <v>292674.75996004679</v>
      </c>
      <c r="Y8" s="128">
        <f t="shared" si="4"/>
        <v>290096.32852838159</v>
      </c>
      <c r="Z8" s="128">
        <f t="shared" si="4"/>
        <v>287517.89709671639</v>
      </c>
      <c r="AA8" s="127">
        <f>'Initial demand info'!O33</f>
        <v>284939.46566505113</v>
      </c>
      <c r="AB8" s="128">
        <f>AA8+($AF8-$AA8)/5</f>
        <v>282321.84974926914</v>
      </c>
      <c r="AC8" s="128">
        <f t="shared" ref="AC8:AE8" si="5">AB8+($AF8-$AA8)/5</f>
        <v>279704.23383348715</v>
      </c>
      <c r="AD8" s="128">
        <f t="shared" si="5"/>
        <v>277086.61791770515</v>
      </c>
      <c r="AE8" s="128">
        <f t="shared" si="5"/>
        <v>274469.00200192316</v>
      </c>
      <c r="AF8" s="127">
        <f>'Initial demand info'!P33</f>
        <v>271851.38608614117</v>
      </c>
      <c r="AG8" s="66">
        <v>1.0000000000000002</v>
      </c>
      <c r="AH8" s="66">
        <v>1.0000000000000002</v>
      </c>
      <c r="AI8" s="66">
        <v>1.0000000000000002</v>
      </c>
      <c r="AJ8" s="66">
        <v>1.0000000000000004</v>
      </c>
      <c r="AK8" s="66">
        <v>1.0000000000000004</v>
      </c>
      <c r="AL8" s="174">
        <v>1</v>
      </c>
      <c r="AM8" s="174">
        <v>1</v>
      </c>
      <c r="AN8" s="174">
        <v>1.0000000000000002</v>
      </c>
      <c r="AO8" s="174">
        <v>1.0000000000000002</v>
      </c>
      <c r="AP8" s="174">
        <v>1.0000000000000004</v>
      </c>
      <c r="AQ8" s="174">
        <v>0.99999999999999989</v>
      </c>
      <c r="AR8" s="174">
        <v>0.99999999999999989</v>
      </c>
      <c r="AS8" s="174">
        <v>0.99999999999999989</v>
      </c>
      <c r="AT8" s="174">
        <v>0.99999999999999989</v>
      </c>
      <c r="AU8" s="174">
        <v>0.99999999999999989</v>
      </c>
      <c r="AV8" s="174">
        <v>0.99999999999999989</v>
      </c>
      <c r="AW8" s="174">
        <v>0.99999999999999989</v>
      </c>
      <c r="AX8" s="174">
        <v>0.99999999999999989</v>
      </c>
      <c r="AY8" s="174">
        <v>0.99999999999999989</v>
      </c>
      <c r="AZ8" s="174">
        <v>0.99999999999999989</v>
      </c>
      <c r="BA8" s="174">
        <v>0.99999999999999989</v>
      </c>
      <c r="BB8" s="174">
        <v>0.99999999999999989</v>
      </c>
      <c r="BC8" s="174">
        <v>0.99999999999999989</v>
      </c>
      <c r="BD8" s="174">
        <v>0.99999999999999989</v>
      </c>
      <c r="BE8" s="174">
        <v>0.99999999999999989</v>
      </c>
      <c r="BF8" s="175">
        <v>0.99999999999999989</v>
      </c>
      <c r="BG8" s="130">
        <v>0.99999999999999989</v>
      </c>
      <c r="BH8" s="130">
        <v>0.99999999999999989</v>
      </c>
      <c r="BI8" s="130">
        <v>0.99999999999999989</v>
      </c>
      <c r="BJ8" s="130">
        <v>0.99999999999999989</v>
      </c>
      <c r="BK8" s="130">
        <v>0.99999999999999989</v>
      </c>
    </row>
    <row r="9" spans="1:63" x14ac:dyDescent="0.35">
      <c r="A9" s="131" t="s">
        <v>13</v>
      </c>
      <c r="B9" s="132">
        <f>'Initial demand info'!F10</f>
        <v>73144.942790000001</v>
      </c>
      <c r="C9" s="128">
        <f t="shared" ref="C9:F13" si="6">B9+($G9-$B9)/5</f>
        <v>74080.566047702334</v>
      </c>
      <c r="D9" s="128">
        <f t="shared" si="6"/>
        <v>75016.189305404667</v>
      </c>
      <c r="E9" s="128">
        <f t="shared" si="6"/>
        <v>75951.812563107</v>
      </c>
      <c r="F9" s="128">
        <f t="shared" si="6"/>
        <v>76887.435820809333</v>
      </c>
      <c r="G9" s="133">
        <f>G$8*AL9</f>
        <v>77823.059078511666</v>
      </c>
      <c r="H9" s="133">
        <f t="shared" ref="H9:AF13" si="7">H$8*AM9</f>
        <v>81252.56573625993</v>
      </c>
      <c r="I9" s="133">
        <f t="shared" si="7"/>
        <v>84775.686049509677</v>
      </c>
      <c r="J9" s="133">
        <f t="shared" si="7"/>
        <v>88399.436214765432</v>
      </c>
      <c r="K9" s="133">
        <f t="shared" si="7"/>
        <v>92131.55153094721</v>
      </c>
      <c r="L9" s="133">
        <f t="shared" si="7"/>
        <v>95980.580949647876</v>
      </c>
      <c r="M9" s="133">
        <f t="shared" si="7"/>
        <v>95313.843769519401</v>
      </c>
      <c r="N9" s="133">
        <f t="shared" si="7"/>
        <v>94647.106589390925</v>
      </c>
      <c r="O9" s="133">
        <f t="shared" si="7"/>
        <v>93980.36940926245</v>
      </c>
      <c r="P9" s="133">
        <f t="shared" si="7"/>
        <v>93313.632229133975</v>
      </c>
      <c r="Q9" s="133">
        <f t="shared" si="7"/>
        <v>92646.895049005485</v>
      </c>
      <c r="R9" s="133">
        <f t="shared" si="7"/>
        <v>91913.165074811084</v>
      </c>
      <c r="S9" s="133">
        <f t="shared" si="7"/>
        <v>91179.435100616683</v>
      </c>
      <c r="T9" s="133">
        <f t="shared" si="7"/>
        <v>90445.705126422268</v>
      </c>
      <c r="U9" s="133">
        <f t="shared" si="7"/>
        <v>89711.975152227868</v>
      </c>
      <c r="V9" s="133">
        <f t="shared" si="7"/>
        <v>88978.245178033452</v>
      </c>
      <c r="W9" s="133">
        <f t="shared" si="7"/>
        <v>88207.929716140716</v>
      </c>
      <c r="X9" s="133">
        <f t="shared" si="7"/>
        <v>87437.614254247979</v>
      </c>
      <c r="Y9" s="133">
        <f t="shared" si="7"/>
        <v>86667.298792355243</v>
      </c>
      <c r="Z9" s="133">
        <f t="shared" si="7"/>
        <v>85896.983330462492</v>
      </c>
      <c r="AA9" s="133">
        <f t="shared" si="7"/>
        <v>85126.667868569741</v>
      </c>
      <c r="AB9" s="133">
        <f t="shared" si="7"/>
        <v>84344.645904184523</v>
      </c>
      <c r="AC9" s="133">
        <f t="shared" si="7"/>
        <v>83562.623939799319</v>
      </c>
      <c r="AD9" s="133">
        <f t="shared" si="7"/>
        <v>82780.601975414102</v>
      </c>
      <c r="AE9" s="133">
        <f t="shared" si="7"/>
        <v>81998.580011028898</v>
      </c>
      <c r="AF9" s="133">
        <f t="shared" si="7"/>
        <v>81216.55804664368</v>
      </c>
      <c r="AG9" s="161">
        <f>B9/B$8</f>
        <v>0.20515836529310044</v>
      </c>
      <c r="AH9" s="161">
        <f t="shared" ref="AH9:AK13" si="8">C9/C$8</f>
        <v>0.20921429685447968</v>
      </c>
      <c r="AI9" s="161">
        <f t="shared" si="8"/>
        <v>0.21332650908515188</v>
      </c>
      <c r="AJ9" s="161">
        <f t="shared" si="8"/>
        <v>0.21749618160698342</v>
      </c>
      <c r="AK9" s="161">
        <f t="shared" si="8"/>
        <v>0.22172452723969205</v>
      </c>
      <c r="AL9" s="176">
        <v>0.22601279317697223</v>
      </c>
      <c r="AM9" s="176">
        <v>0.23917630793858691</v>
      </c>
      <c r="AN9" s="176">
        <v>0.25298151460942159</v>
      </c>
      <c r="AO9" s="176">
        <v>0.26747650699060288</v>
      </c>
      <c r="AP9" s="176">
        <v>0.28271430810217846</v>
      </c>
      <c r="AQ9" s="176">
        <v>0.29875351829513463</v>
      </c>
      <c r="AR9" s="176">
        <v>0.29875351829513463</v>
      </c>
      <c r="AS9" s="176">
        <v>0.29875351829513463</v>
      </c>
      <c r="AT9" s="176">
        <v>0.29875351829513463</v>
      </c>
      <c r="AU9" s="176">
        <v>0.29875351829513463</v>
      </c>
      <c r="AV9" s="176">
        <v>0.29875351829513463</v>
      </c>
      <c r="AW9" s="176">
        <v>0.29875351829513463</v>
      </c>
      <c r="AX9" s="176">
        <v>0.29875351829513463</v>
      </c>
      <c r="AY9" s="176">
        <v>0.29875351829513463</v>
      </c>
      <c r="AZ9" s="176">
        <v>0.29875351829513463</v>
      </c>
      <c r="BA9" s="176">
        <v>0.29875351829513463</v>
      </c>
      <c r="BB9" s="176">
        <v>0.29875351829513463</v>
      </c>
      <c r="BC9" s="176">
        <v>0.29875351829513463</v>
      </c>
      <c r="BD9" s="176">
        <v>0.29875351829513463</v>
      </c>
      <c r="BE9" s="176">
        <v>0.29875351829513463</v>
      </c>
      <c r="BF9" s="177">
        <v>0.29875351829513463</v>
      </c>
      <c r="BG9" s="135">
        <v>0.29875351829513463</v>
      </c>
      <c r="BH9" s="135">
        <v>0.29875351829513463</v>
      </c>
      <c r="BI9" s="135">
        <v>0.29875351829513463</v>
      </c>
      <c r="BJ9" s="135">
        <v>0.29875351829513463</v>
      </c>
      <c r="BK9" s="135">
        <v>0.29875351829513463</v>
      </c>
    </row>
    <row r="10" spans="1:63" x14ac:dyDescent="0.35">
      <c r="A10" s="136" t="s">
        <v>12</v>
      </c>
      <c r="B10" s="127">
        <f>'Initial demand info'!F11</f>
        <v>10113.692230000001</v>
      </c>
      <c r="C10" s="128">
        <f t="shared" si="6"/>
        <v>10880.837033984382</v>
      </c>
      <c r="D10" s="128">
        <f t="shared" si="6"/>
        <v>11647.981837968764</v>
      </c>
      <c r="E10" s="128">
        <f t="shared" si="6"/>
        <v>12415.126641953146</v>
      </c>
      <c r="F10" s="128">
        <f t="shared" si="6"/>
        <v>13182.271445937527</v>
      </c>
      <c r="G10" s="133">
        <f t="shared" ref="G10:G13" si="9">G$8*AL10</f>
        <v>13949.416249921911</v>
      </c>
      <c r="H10" s="133">
        <f t="shared" si="7"/>
        <v>14287.795252679731</v>
      </c>
      <c r="I10" s="133">
        <f t="shared" si="7"/>
        <v>14637.169129349653</v>
      </c>
      <c r="J10" s="133">
        <f t="shared" si="7"/>
        <v>14998.361928469216</v>
      </c>
      <c r="K10" s="133">
        <f t="shared" si="7"/>
        <v>15372.282156771145</v>
      </c>
      <c r="L10" s="133">
        <f t="shared" si="7"/>
        <v>15759.933884060652</v>
      </c>
      <c r="M10" s="133">
        <f t="shared" si="7"/>
        <v>15650.456177498507</v>
      </c>
      <c r="N10" s="133">
        <f t="shared" si="7"/>
        <v>15540.978470936361</v>
      </c>
      <c r="O10" s="133">
        <f t="shared" si="7"/>
        <v>15431.500764374216</v>
      </c>
      <c r="P10" s="133">
        <f t="shared" si="7"/>
        <v>15322.023057812068</v>
      </c>
      <c r="Q10" s="133">
        <f t="shared" si="7"/>
        <v>15212.545351249923</v>
      </c>
      <c r="R10" s="133">
        <f t="shared" si="7"/>
        <v>15092.067482001312</v>
      </c>
      <c r="S10" s="133">
        <f t="shared" si="7"/>
        <v>14971.589612752701</v>
      </c>
      <c r="T10" s="133">
        <f t="shared" si="7"/>
        <v>14851.111743504091</v>
      </c>
      <c r="U10" s="133">
        <f t="shared" si="7"/>
        <v>14730.63387425548</v>
      </c>
      <c r="V10" s="133">
        <f t="shared" si="7"/>
        <v>14610.156005006869</v>
      </c>
      <c r="W10" s="133">
        <f t="shared" si="7"/>
        <v>14483.670828222326</v>
      </c>
      <c r="X10" s="133">
        <f t="shared" si="7"/>
        <v>14357.185651437785</v>
      </c>
      <c r="Y10" s="133">
        <f t="shared" si="7"/>
        <v>14230.700474653244</v>
      </c>
      <c r="Z10" s="133">
        <f t="shared" si="7"/>
        <v>14104.215297868703</v>
      </c>
      <c r="AA10" s="133">
        <f t="shared" si="7"/>
        <v>13977.730121084158</v>
      </c>
      <c r="AB10" s="133">
        <f t="shared" si="7"/>
        <v>13849.322746043787</v>
      </c>
      <c r="AC10" s="133">
        <f t="shared" si="7"/>
        <v>13720.915371003415</v>
      </c>
      <c r="AD10" s="133">
        <f t="shared" si="7"/>
        <v>13592.507995963044</v>
      </c>
      <c r="AE10" s="133">
        <f t="shared" si="7"/>
        <v>13464.100620922673</v>
      </c>
      <c r="AF10" s="133">
        <f t="shared" si="7"/>
        <v>13335.693245882301</v>
      </c>
      <c r="AG10" s="161">
        <f t="shared" ref="AG10:AG13" si="10">B10/B$8</f>
        <v>2.8367081657872353E-2</v>
      </c>
      <c r="AH10" s="161">
        <f t="shared" si="8"/>
        <v>3.0729066888978366E-2</v>
      </c>
      <c r="AI10" s="161">
        <f t="shared" si="8"/>
        <v>3.3123827354985418E-2</v>
      </c>
      <c r="AJ10" s="161">
        <f t="shared" si="8"/>
        <v>3.5552050012609721E-2</v>
      </c>
      <c r="AK10" s="161">
        <f t="shared" si="8"/>
        <v>3.8014441151446685E-2</v>
      </c>
      <c r="AL10" s="174">
        <v>4.0511727078891273E-2</v>
      </c>
      <c r="AM10" s="174">
        <v>4.2057774867205154E-2</v>
      </c>
      <c r="AN10" s="174">
        <v>4.3679189028026283E-2</v>
      </c>
      <c r="AO10" s="174">
        <v>4.5381618152647324E-2</v>
      </c>
      <c r="AP10" s="174">
        <v>4.7171289766494359E-2</v>
      </c>
      <c r="AQ10" s="174">
        <v>4.9055086449537683E-2</v>
      </c>
      <c r="AR10" s="174">
        <v>4.9055086449537683E-2</v>
      </c>
      <c r="AS10" s="174">
        <v>4.9055086449537683E-2</v>
      </c>
      <c r="AT10" s="174">
        <v>4.9055086449537683E-2</v>
      </c>
      <c r="AU10" s="174">
        <v>4.9055086449537683E-2</v>
      </c>
      <c r="AV10" s="174">
        <v>4.9055086449537683E-2</v>
      </c>
      <c r="AW10" s="174">
        <v>4.9055086449537683E-2</v>
      </c>
      <c r="AX10" s="174">
        <v>4.9055086449537683E-2</v>
      </c>
      <c r="AY10" s="174">
        <v>4.9055086449537683E-2</v>
      </c>
      <c r="AZ10" s="174">
        <v>4.9055086449537683E-2</v>
      </c>
      <c r="BA10" s="174">
        <v>4.9055086449537683E-2</v>
      </c>
      <c r="BB10" s="174">
        <v>4.9055086449537683E-2</v>
      </c>
      <c r="BC10" s="174">
        <v>4.9055086449537683E-2</v>
      </c>
      <c r="BD10" s="174">
        <v>4.9055086449537683E-2</v>
      </c>
      <c r="BE10" s="174">
        <v>4.9055086449537683E-2</v>
      </c>
      <c r="BF10" s="175">
        <v>4.9055086449537683E-2</v>
      </c>
      <c r="BG10" s="130">
        <v>4.9055086449537683E-2</v>
      </c>
      <c r="BH10" s="130">
        <v>4.9055086449537683E-2</v>
      </c>
      <c r="BI10" s="130">
        <v>4.9055086449537683E-2</v>
      </c>
      <c r="BJ10" s="130">
        <v>4.9055086449537683E-2</v>
      </c>
      <c r="BK10" s="130">
        <v>4.9055086449537683E-2</v>
      </c>
    </row>
    <row r="11" spans="1:63" x14ac:dyDescent="0.35">
      <c r="A11" s="131" t="s">
        <v>11</v>
      </c>
      <c r="B11" s="132">
        <f>'Initial demand info'!F12</f>
        <v>66211.648509999999</v>
      </c>
      <c r="C11" s="128">
        <f t="shared" si="6"/>
        <v>67432.66091976114</v>
      </c>
      <c r="D11" s="128">
        <f t="shared" si="6"/>
        <v>68653.67332952228</v>
      </c>
      <c r="E11" s="128">
        <f t="shared" si="6"/>
        <v>69874.685739283421</v>
      </c>
      <c r="F11" s="128">
        <f t="shared" si="6"/>
        <v>71095.698149044561</v>
      </c>
      <c r="G11" s="133">
        <f t="shared" si="9"/>
        <v>72316.710558805673</v>
      </c>
      <c r="H11" s="133">
        <f t="shared" si="7"/>
        <v>72328.873545572424</v>
      </c>
      <c r="I11" s="133">
        <f t="shared" si="7"/>
        <v>72361.568204310403</v>
      </c>
      <c r="J11" s="133">
        <f t="shared" si="7"/>
        <v>72416.333351598718</v>
      </c>
      <c r="K11" s="133">
        <f t="shared" si="7"/>
        <v>72494.865520055144</v>
      </c>
      <c r="L11" s="133">
        <f t="shared" si="7"/>
        <v>72599.039695426793</v>
      </c>
      <c r="M11" s="133">
        <f t="shared" si="7"/>
        <v>72094.724358640524</v>
      </c>
      <c r="N11" s="133">
        <f t="shared" si="7"/>
        <v>71590.409021854241</v>
      </c>
      <c r="O11" s="133">
        <f t="shared" si="7"/>
        <v>71086.093685067957</v>
      </c>
      <c r="P11" s="133">
        <f t="shared" si="7"/>
        <v>70581.778348281689</v>
      </c>
      <c r="Q11" s="133">
        <f t="shared" si="7"/>
        <v>70077.463011495405</v>
      </c>
      <c r="R11" s="133">
        <f t="shared" si="7"/>
        <v>69522.474794137044</v>
      </c>
      <c r="S11" s="133">
        <f t="shared" si="7"/>
        <v>68967.486576778698</v>
      </c>
      <c r="T11" s="133">
        <f t="shared" si="7"/>
        <v>68412.498359420351</v>
      </c>
      <c r="U11" s="133">
        <f t="shared" si="7"/>
        <v>67857.51014206199</v>
      </c>
      <c r="V11" s="133">
        <f t="shared" si="7"/>
        <v>67302.521924703644</v>
      </c>
      <c r="W11" s="133">
        <f t="shared" si="7"/>
        <v>66719.860700499441</v>
      </c>
      <c r="X11" s="133">
        <f t="shared" si="7"/>
        <v>66137.199476295238</v>
      </c>
      <c r="Y11" s="133">
        <f t="shared" si="7"/>
        <v>65554.538252091035</v>
      </c>
      <c r="Z11" s="133">
        <f t="shared" si="7"/>
        <v>64971.87702788684</v>
      </c>
      <c r="AA11" s="133">
        <f t="shared" si="7"/>
        <v>64389.215803682629</v>
      </c>
      <c r="AB11" s="133">
        <f t="shared" si="7"/>
        <v>63797.699862922884</v>
      </c>
      <c r="AC11" s="133">
        <f t="shared" si="7"/>
        <v>63206.183922163145</v>
      </c>
      <c r="AD11" s="133">
        <f t="shared" si="7"/>
        <v>62614.6679814034</v>
      </c>
      <c r="AE11" s="133">
        <f t="shared" si="7"/>
        <v>62023.152040643661</v>
      </c>
      <c r="AF11" s="133">
        <f t="shared" si="7"/>
        <v>61431.636099883915</v>
      </c>
      <c r="AG11" s="161">
        <f t="shared" si="10"/>
        <v>0.18571172597225771</v>
      </c>
      <c r="AH11" s="161">
        <f>C11/C$8</f>
        <v>0.19043964553766993</v>
      </c>
      <c r="AI11" s="161">
        <f t="shared" si="8"/>
        <v>0.19523317037118831</v>
      </c>
      <c r="AJ11" s="161">
        <f t="shared" si="8"/>
        <v>0.2000936755347974</v>
      </c>
      <c r="AK11" s="161">
        <f t="shared" si="8"/>
        <v>0.20502257478856345</v>
      </c>
      <c r="AL11" s="176">
        <v>0.21002132196162046</v>
      </c>
      <c r="AM11" s="176">
        <v>0.21290838972567852</v>
      </c>
      <c r="AN11" s="176">
        <v>0.21593619558735835</v>
      </c>
      <c r="AO11" s="176">
        <v>0.21911528764611501</v>
      </c>
      <c r="AP11" s="176">
        <v>0.22245729509481268</v>
      </c>
      <c r="AQ11" s="176">
        <v>0.22597507036590264</v>
      </c>
      <c r="AR11" s="176">
        <v>0.22597507036590264</v>
      </c>
      <c r="AS11" s="176">
        <v>0.22597507036590264</v>
      </c>
      <c r="AT11" s="176">
        <v>0.22597507036590264</v>
      </c>
      <c r="AU11" s="176">
        <v>0.22597507036590264</v>
      </c>
      <c r="AV11" s="176">
        <v>0.22597507036590264</v>
      </c>
      <c r="AW11" s="176">
        <v>0.22597507036590264</v>
      </c>
      <c r="AX11" s="176">
        <v>0.22597507036590264</v>
      </c>
      <c r="AY11" s="176">
        <v>0.22597507036590264</v>
      </c>
      <c r="AZ11" s="176">
        <v>0.22597507036590264</v>
      </c>
      <c r="BA11" s="176">
        <v>0.22597507036590264</v>
      </c>
      <c r="BB11" s="176">
        <v>0.22597507036590264</v>
      </c>
      <c r="BC11" s="176">
        <v>0.22597507036590264</v>
      </c>
      <c r="BD11" s="176">
        <v>0.22597507036590264</v>
      </c>
      <c r="BE11" s="176">
        <v>0.22597507036590264</v>
      </c>
      <c r="BF11" s="177">
        <v>0.22597507036590264</v>
      </c>
      <c r="BG11" s="135">
        <v>0.22597507036590264</v>
      </c>
      <c r="BH11" s="135">
        <v>0.22597507036590264</v>
      </c>
      <c r="BI11" s="135">
        <v>0.22597507036590264</v>
      </c>
      <c r="BJ11" s="135">
        <v>0.22597507036590264</v>
      </c>
      <c r="BK11" s="135">
        <v>0.22597507036590264</v>
      </c>
    </row>
    <row r="12" spans="1:63" x14ac:dyDescent="0.35">
      <c r="A12" s="136" t="s">
        <v>9</v>
      </c>
      <c r="B12" s="127">
        <f>'Initial demand info'!F13</f>
        <v>185296.10311</v>
      </c>
      <c r="C12" s="128">
        <f t="shared" si="6"/>
        <v>181715.48148781256</v>
      </c>
      <c r="D12" s="128">
        <f t="shared" si="6"/>
        <v>178134.85986562513</v>
      </c>
      <c r="E12" s="128">
        <f t="shared" si="6"/>
        <v>174554.23824343769</v>
      </c>
      <c r="F12" s="128">
        <f t="shared" si="6"/>
        <v>170973.61662125026</v>
      </c>
      <c r="G12" s="133">
        <f t="shared" si="9"/>
        <v>167392.99499906288</v>
      </c>
      <c r="H12" s="133">
        <f t="shared" si="7"/>
        <v>160774.77564607078</v>
      </c>
      <c r="I12" s="133">
        <f t="shared" si="7"/>
        <v>154064.94742291569</v>
      </c>
      <c r="J12" s="133">
        <f t="shared" si="7"/>
        <v>147256.64438860668</v>
      </c>
      <c r="K12" s="133">
        <f t="shared" si="7"/>
        <v>140342.29689969122</v>
      </c>
      <c r="L12" s="133">
        <f t="shared" si="7"/>
        <v>133313.53908484068</v>
      </c>
      <c r="M12" s="133">
        <f t="shared" si="7"/>
        <v>132387.46537031498</v>
      </c>
      <c r="N12" s="133">
        <f t="shared" si="7"/>
        <v>131461.39165578931</v>
      </c>
      <c r="O12" s="133">
        <f t="shared" si="7"/>
        <v>130535.31794126361</v>
      </c>
      <c r="P12" s="133">
        <f t="shared" si="7"/>
        <v>129609.24422673791</v>
      </c>
      <c r="Q12" s="133">
        <f t="shared" si="7"/>
        <v>128683.17051221222</v>
      </c>
      <c r="R12" s="133">
        <f t="shared" si="7"/>
        <v>127664.04624119119</v>
      </c>
      <c r="S12" s="133">
        <f t="shared" si="7"/>
        <v>126644.92197017015</v>
      </c>
      <c r="T12" s="133">
        <f t="shared" si="7"/>
        <v>125625.79769914912</v>
      </c>
      <c r="U12" s="133">
        <f t="shared" si="7"/>
        <v>124606.67342812808</v>
      </c>
      <c r="V12" s="133">
        <f t="shared" si="7"/>
        <v>123587.54915710705</v>
      </c>
      <c r="W12" s="133">
        <f t="shared" si="7"/>
        <v>122517.60897315912</v>
      </c>
      <c r="X12" s="133">
        <f t="shared" si="7"/>
        <v>121447.66878921121</v>
      </c>
      <c r="Y12" s="133">
        <f t="shared" si="7"/>
        <v>120377.72860526328</v>
      </c>
      <c r="Z12" s="133">
        <f t="shared" si="7"/>
        <v>119307.78842131536</v>
      </c>
      <c r="AA12" s="133">
        <f t="shared" si="7"/>
        <v>118237.84823736741</v>
      </c>
      <c r="AB12" s="133">
        <f t="shared" si="7"/>
        <v>117151.64814686197</v>
      </c>
      <c r="AC12" s="133">
        <f t="shared" si="7"/>
        <v>116065.44805635653</v>
      </c>
      <c r="AD12" s="133">
        <f t="shared" si="7"/>
        <v>114979.2479658511</v>
      </c>
      <c r="AE12" s="133">
        <f t="shared" si="7"/>
        <v>113893.04787534567</v>
      </c>
      <c r="AF12" s="133">
        <f t="shared" si="7"/>
        <v>112806.84778484023</v>
      </c>
      <c r="AG12" s="161">
        <f t="shared" si="10"/>
        <v>0.51972213196435235</v>
      </c>
      <c r="AH12" s="161">
        <f t="shared" si="8"/>
        <v>0.51319095837585149</v>
      </c>
      <c r="AI12" s="161">
        <f t="shared" si="8"/>
        <v>0.5065691573161355</v>
      </c>
      <c r="AJ12" s="161">
        <f t="shared" si="8"/>
        <v>0.49985482926716246</v>
      </c>
      <c r="AK12" s="161">
        <f t="shared" si="8"/>
        <v>0.49304602125315133</v>
      </c>
      <c r="AL12" s="174">
        <v>0.48614072494669508</v>
      </c>
      <c r="AM12" s="174">
        <v>0.47325911373062651</v>
      </c>
      <c r="AN12" s="174">
        <v>0.45974955277280871</v>
      </c>
      <c r="AO12" s="174">
        <v>0.44556497822599145</v>
      </c>
      <c r="AP12" s="174">
        <v>0.43065350258580182</v>
      </c>
      <c r="AQ12" s="174">
        <v>0.41495778045838355</v>
      </c>
      <c r="AR12" s="174">
        <v>0.41495778045838355</v>
      </c>
      <c r="AS12" s="174">
        <v>0.41495778045838355</v>
      </c>
      <c r="AT12" s="174">
        <v>0.41495778045838355</v>
      </c>
      <c r="AU12" s="174">
        <v>0.41495778045838355</v>
      </c>
      <c r="AV12" s="174">
        <v>0.41495778045838355</v>
      </c>
      <c r="AW12" s="174">
        <v>0.41495778045838355</v>
      </c>
      <c r="AX12" s="174">
        <v>0.41495778045838355</v>
      </c>
      <c r="AY12" s="174">
        <v>0.41495778045838355</v>
      </c>
      <c r="AZ12" s="174">
        <v>0.41495778045838355</v>
      </c>
      <c r="BA12" s="174">
        <v>0.41495778045838355</v>
      </c>
      <c r="BB12" s="174">
        <v>0.41495778045838355</v>
      </c>
      <c r="BC12" s="174">
        <v>0.41495778045838355</v>
      </c>
      <c r="BD12" s="174">
        <v>0.41495778045838355</v>
      </c>
      <c r="BE12" s="174">
        <v>0.41495778045838355</v>
      </c>
      <c r="BF12" s="175">
        <v>0.41495778045838355</v>
      </c>
      <c r="BG12" s="130">
        <v>0.41495778045838355</v>
      </c>
      <c r="BH12" s="130">
        <v>0.41495778045838355</v>
      </c>
      <c r="BI12" s="130">
        <v>0.41495778045838355</v>
      </c>
      <c r="BJ12" s="130">
        <v>0.41495778045838355</v>
      </c>
      <c r="BK12" s="130">
        <v>0.41495778045838355</v>
      </c>
    </row>
    <row r="13" spans="1:63" x14ac:dyDescent="0.35">
      <c r="A13" s="131" t="s">
        <v>10</v>
      </c>
      <c r="B13" s="132">
        <f>'Initial demand info'!F14</f>
        <v>21762.788690000001</v>
      </c>
      <c r="C13" s="128">
        <f t="shared" si="6"/>
        <v>19979.86026119614</v>
      </c>
      <c r="D13" s="128">
        <f t="shared" si="6"/>
        <v>18196.931832392278</v>
      </c>
      <c r="E13" s="128">
        <f t="shared" si="6"/>
        <v>16414.003403588416</v>
      </c>
      <c r="F13" s="128">
        <f t="shared" si="6"/>
        <v>14631.074974784557</v>
      </c>
      <c r="G13" s="133">
        <f t="shared" si="9"/>
        <v>12848.146545980702</v>
      </c>
      <c r="H13" s="133">
        <f t="shared" si="7"/>
        <v>11074.277289274247</v>
      </c>
      <c r="I13" s="133">
        <f t="shared" si="7"/>
        <v>9266.876701345931</v>
      </c>
      <c r="J13" s="133">
        <f t="shared" si="7"/>
        <v>7423.4316615655607</v>
      </c>
      <c r="K13" s="133">
        <f t="shared" si="7"/>
        <v>5541.1714751151703</v>
      </c>
      <c r="L13" s="133">
        <f t="shared" si="7"/>
        <v>3617.0340061778484</v>
      </c>
      <c r="M13" s="133">
        <f t="shared" si="7"/>
        <v>3591.907975163585</v>
      </c>
      <c r="N13" s="133">
        <f t="shared" si="7"/>
        <v>3566.781944149322</v>
      </c>
      <c r="O13" s="133">
        <f t="shared" si="7"/>
        <v>3541.6559131350591</v>
      </c>
      <c r="P13" s="133">
        <f t="shared" si="7"/>
        <v>3516.5298821207962</v>
      </c>
      <c r="Q13" s="133">
        <f t="shared" si="7"/>
        <v>3491.4038511065332</v>
      </c>
      <c r="R13" s="133">
        <f t="shared" si="7"/>
        <v>3463.7531925904586</v>
      </c>
      <c r="S13" s="133">
        <f t="shared" si="7"/>
        <v>3436.102534074384</v>
      </c>
      <c r="T13" s="133">
        <f t="shared" si="7"/>
        <v>3408.4518755583094</v>
      </c>
      <c r="U13" s="133">
        <f t="shared" si="7"/>
        <v>3380.8012170422353</v>
      </c>
      <c r="V13" s="133">
        <f t="shared" si="7"/>
        <v>3353.1505585261607</v>
      </c>
      <c r="W13" s="133">
        <f t="shared" si="7"/>
        <v>3324.1211736903642</v>
      </c>
      <c r="X13" s="133">
        <f t="shared" si="7"/>
        <v>3295.0917888545678</v>
      </c>
      <c r="Y13" s="133">
        <f t="shared" si="7"/>
        <v>3266.0624040187713</v>
      </c>
      <c r="Z13" s="133">
        <f t="shared" si="7"/>
        <v>3237.0330191829748</v>
      </c>
      <c r="AA13" s="133">
        <f t="shared" si="7"/>
        <v>3208.0036343471779</v>
      </c>
      <c r="AB13" s="133">
        <f t="shared" si="7"/>
        <v>3178.533089255945</v>
      </c>
      <c r="AC13" s="133">
        <f t="shared" si="7"/>
        <v>3149.0625441647126</v>
      </c>
      <c r="AD13" s="133">
        <f t="shared" si="7"/>
        <v>3119.5919990734797</v>
      </c>
      <c r="AE13" s="133">
        <f t="shared" si="7"/>
        <v>3090.1214539822467</v>
      </c>
      <c r="AF13" s="133">
        <f t="shared" si="7"/>
        <v>3060.6509088910143</v>
      </c>
      <c r="AG13" s="161">
        <f t="shared" si="10"/>
        <v>6.1040695112417012E-2</v>
      </c>
      <c r="AH13" s="161">
        <f t="shared" si="8"/>
        <v>5.6426032343020405E-2</v>
      </c>
      <c r="AI13" s="161">
        <f t="shared" si="8"/>
        <v>5.1747335872538699E-2</v>
      </c>
      <c r="AJ13" s="161">
        <f t="shared" si="8"/>
        <v>4.7003263578446863E-2</v>
      </c>
      <c r="AK13" s="161">
        <f t="shared" si="8"/>
        <v>4.2192435567146309E-2</v>
      </c>
      <c r="AL13" s="176">
        <v>3.7313432835820892E-2</v>
      </c>
      <c r="AM13" s="176">
        <v>3.2598413737902933E-2</v>
      </c>
      <c r="AN13" s="176">
        <v>2.765354800238521E-2</v>
      </c>
      <c r="AO13" s="176">
        <v>2.2461608984643593E-2</v>
      </c>
      <c r="AP13" s="176">
        <v>1.7003604450713052E-2</v>
      </c>
      <c r="AQ13" s="176">
        <v>1.1258544431041415E-2</v>
      </c>
      <c r="AR13" s="176">
        <v>1.1258544431041415E-2</v>
      </c>
      <c r="AS13" s="176">
        <v>1.1258544431041415E-2</v>
      </c>
      <c r="AT13" s="176">
        <v>1.1258544431041415E-2</v>
      </c>
      <c r="AU13" s="176">
        <v>1.1258544431041415E-2</v>
      </c>
      <c r="AV13" s="176">
        <v>1.1258544431041415E-2</v>
      </c>
      <c r="AW13" s="176">
        <v>1.1258544431041415E-2</v>
      </c>
      <c r="AX13" s="176">
        <v>1.1258544431041415E-2</v>
      </c>
      <c r="AY13" s="176">
        <v>1.1258544431041415E-2</v>
      </c>
      <c r="AZ13" s="176">
        <v>1.1258544431041415E-2</v>
      </c>
      <c r="BA13" s="176">
        <v>1.1258544431041415E-2</v>
      </c>
      <c r="BB13" s="176">
        <v>1.1258544431041415E-2</v>
      </c>
      <c r="BC13" s="176">
        <v>1.1258544431041415E-2</v>
      </c>
      <c r="BD13" s="176">
        <v>1.1258544431041415E-2</v>
      </c>
      <c r="BE13" s="176">
        <v>1.1258544431041415E-2</v>
      </c>
      <c r="BF13" s="177">
        <v>1.1258544431041415E-2</v>
      </c>
      <c r="BG13" s="135">
        <v>1.1258544431041415E-2</v>
      </c>
      <c r="BH13" s="135">
        <v>1.1258544431041415E-2</v>
      </c>
      <c r="BI13" s="135">
        <v>1.1258544431041415E-2</v>
      </c>
      <c r="BJ13" s="135">
        <v>1.1258544431041415E-2</v>
      </c>
      <c r="BK13" s="135">
        <v>1.1258544431041415E-2</v>
      </c>
    </row>
    <row r="14" spans="1:63" x14ac:dyDescent="0.35">
      <c r="A14" s="136"/>
      <c r="B14" s="127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5"/>
      <c r="BG14" s="130"/>
      <c r="BH14" s="130"/>
      <c r="BI14" s="130"/>
      <c r="BJ14" s="130"/>
      <c r="BK14" s="130"/>
    </row>
    <row r="15" spans="1:63" x14ac:dyDescent="0.35">
      <c r="A15" s="137" t="s">
        <v>5</v>
      </c>
      <c r="B15" s="132">
        <f>'Initial demand info'!F16</f>
        <v>272762.75125000003</v>
      </c>
      <c r="C15" s="128">
        <f>B15+($G15-$B15)/5</f>
        <v>276354.15161996341</v>
      </c>
      <c r="D15" s="128">
        <f t="shared" ref="D15:F15" si="11">C15+($G15-$B15)/5</f>
        <v>279945.55198992678</v>
      </c>
      <c r="E15" s="128">
        <f t="shared" si="11"/>
        <v>283536.95235989016</v>
      </c>
      <c r="F15" s="128">
        <f t="shared" si="11"/>
        <v>287128.35272985353</v>
      </c>
      <c r="G15" s="127">
        <f>'Initial demand info'!K34</f>
        <v>290719.75309981685</v>
      </c>
      <c r="H15" s="128">
        <f>G15+($L15-$G15)/5</f>
        <v>288562.06589943968</v>
      </c>
      <c r="I15" s="128">
        <f t="shared" ref="I15:K15" si="12">H15+($L15-$G15)/5</f>
        <v>286404.37869906251</v>
      </c>
      <c r="J15" s="128">
        <f t="shared" si="12"/>
        <v>284246.69149868534</v>
      </c>
      <c r="K15" s="128">
        <f t="shared" si="12"/>
        <v>282089.00429830817</v>
      </c>
      <c r="L15" s="127">
        <f>'Initial demand info'!L34</f>
        <v>279931.31709793111</v>
      </c>
      <c r="M15" s="128">
        <f>L15+($Q15-$L15)/5</f>
        <v>276555.98091582919</v>
      </c>
      <c r="N15" s="128">
        <f t="shared" ref="N15:P15" si="13">M15+($Q15-$L15)/5</f>
        <v>273180.64473372727</v>
      </c>
      <c r="O15" s="128">
        <f t="shared" si="13"/>
        <v>269805.30855162535</v>
      </c>
      <c r="P15" s="128">
        <f t="shared" si="13"/>
        <v>266429.97236952343</v>
      </c>
      <c r="Q15" s="127">
        <f>'Initial demand info'!M34</f>
        <v>263054.63618742139</v>
      </c>
      <c r="R15" s="128">
        <f>Q15+($V15-$Q15)/5</f>
        <v>260629.65205922737</v>
      </c>
      <c r="S15" s="128">
        <f t="shared" ref="S15:U15" si="14">R15+($V15-$Q15)/5</f>
        <v>258204.66793103336</v>
      </c>
      <c r="T15" s="128">
        <f t="shared" si="14"/>
        <v>255779.68380283934</v>
      </c>
      <c r="U15" s="128">
        <f t="shared" si="14"/>
        <v>253354.69967464532</v>
      </c>
      <c r="V15" s="127">
        <f>'Initial demand info'!N34</f>
        <v>250929.71554645128</v>
      </c>
      <c r="W15" s="128">
        <f>V15+($AA15-$V15)/5</f>
        <v>249227.8935366779</v>
      </c>
      <c r="X15" s="128">
        <f t="shared" ref="X15:Z15" si="15">W15+($AA15-$V15)/5</f>
        <v>247526.07152690453</v>
      </c>
      <c r="Y15" s="128">
        <f t="shared" si="15"/>
        <v>245824.24951713116</v>
      </c>
      <c r="Z15" s="128">
        <f t="shared" si="15"/>
        <v>244122.42750735779</v>
      </c>
      <c r="AA15" s="127">
        <f>'Initial demand info'!O34</f>
        <v>242420.60549758436</v>
      </c>
      <c r="AB15" s="128">
        <f>AA15+($AF15-$AA15)/5</f>
        <v>244596.7463551907</v>
      </c>
      <c r="AC15" s="128">
        <f t="shared" ref="AC15:AE15" si="16">AB15+($AF15-$AA15)/5</f>
        <v>246772.88721279704</v>
      </c>
      <c r="AD15" s="128">
        <f t="shared" si="16"/>
        <v>248949.02807040338</v>
      </c>
      <c r="AE15" s="128">
        <f t="shared" si="16"/>
        <v>251125.16892800972</v>
      </c>
      <c r="AF15" s="127">
        <f>'Initial demand info'!P34</f>
        <v>253301.30978561606</v>
      </c>
      <c r="AG15" s="133">
        <v>1</v>
      </c>
      <c r="AH15" s="133">
        <v>1</v>
      </c>
      <c r="AI15" s="133">
        <v>1</v>
      </c>
      <c r="AJ15" s="133">
        <v>1.0000000000000002</v>
      </c>
      <c r="AK15" s="133">
        <v>1.0000000000000002</v>
      </c>
      <c r="AL15" s="176">
        <v>1.0000000000000002</v>
      </c>
      <c r="AM15" s="176">
        <v>1</v>
      </c>
      <c r="AN15" s="176">
        <v>1</v>
      </c>
      <c r="AO15" s="176">
        <v>1</v>
      </c>
      <c r="AP15" s="176">
        <v>1</v>
      </c>
      <c r="AQ15" s="176">
        <v>0.99999999999999989</v>
      </c>
      <c r="AR15" s="176">
        <v>0.99999999999999989</v>
      </c>
      <c r="AS15" s="176">
        <v>0.99999999999999989</v>
      </c>
      <c r="AT15" s="176">
        <v>0.99999999999999989</v>
      </c>
      <c r="AU15" s="176">
        <v>0.99999999999999989</v>
      </c>
      <c r="AV15" s="176">
        <v>0.99999999999999989</v>
      </c>
      <c r="AW15" s="176">
        <v>0.99999999999999989</v>
      </c>
      <c r="AX15" s="176">
        <v>0.99999999999999989</v>
      </c>
      <c r="AY15" s="176">
        <v>0.99999999999999989</v>
      </c>
      <c r="AZ15" s="176">
        <v>0.99999999999999989</v>
      </c>
      <c r="BA15" s="176">
        <v>0.99999999999999989</v>
      </c>
      <c r="BB15" s="176">
        <v>0.99999999999999989</v>
      </c>
      <c r="BC15" s="176">
        <v>0.99999999999999989</v>
      </c>
      <c r="BD15" s="176">
        <v>0.99999999999999989</v>
      </c>
      <c r="BE15" s="176">
        <v>0.99999999999999989</v>
      </c>
      <c r="BF15" s="177">
        <v>0.99999999999999989</v>
      </c>
      <c r="BG15" s="135">
        <v>0.99999999999999989</v>
      </c>
      <c r="BH15" s="135">
        <v>0.99999999999999989</v>
      </c>
      <c r="BI15" s="135">
        <v>0.99999999999999989</v>
      </c>
      <c r="BJ15" s="135">
        <v>0.99999999999999989</v>
      </c>
      <c r="BK15" s="135">
        <v>0.99999999999999989</v>
      </c>
    </row>
    <row r="16" spans="1:63" x14ac:dyDescent="0.35">
      <c r="A16" s="136" t="s">
        <v>13</v>
      </c>
      <c r="B16" s="127">
        <f>'Initial demand info'!F17</f>
        <v>5060.1781099999998</v>
      </c>
      <c r="C16" s="128">
        <f t="shared" ref="C16:F21" si="17">B16+($G16-$B16)/5</f>
        <v>5790.1070005009233</v>
      </c>
      <c r="D16" s="128">
        <f t="shared" si="17"/>
        <v>6520.0358910018467</v>
      </c>
      <c r="E16" s="128">
        <f t="shared" si="17"/>
        <v>7249.9647815027702</v>
      </c>
      <c r="F16" s="128">
        <f t="shared" si="17"/>
        <v>7979.8936720036936</v>
      </c>
      <c r="G16" s="133">
        <f>G$15*AL16</f>
        <v>8709.8225625046161</v>
      </c>
      <c r="H16" s="133">
        <f t="shared" ref="H16:W21" si="18">H$15*AM16</f>
        <v>9569.2394637892903</v>
      </c>
      <c r="I16" s="133">
        <f t="shared" si="18"/>
        <v>10431.009837259839</v>
      </c>
      <c r="J16" s="133">
        <f t="shared" si="18"/>
        <v>11295.196486521851</v>
      </c>
      <c r="K16" s="133">
        <f t="shared" si="18"/>
        <v>12161.864469831416</v>
      </c>
      <c r="L16" s="133">
        <f t="shared" si="18"/>
        <v>13031.081202188898</v>
      </c>
      <c r="M16" s="133">
        <f t="shared" si="18"/>
        <v>12873.955946145219</v>
      </c>
      <c r="N16" s="133">
        <f t="shared" si="18"/>
        <v>12716.830690101542</v>
      </c>
      <c r="O16" s="133">
        <f t="shared" si="18"/>
        <v>12559.705434057863</v>
      </c>
      <c r="P16" s="133">
        <f t="shared" si="18"/>
        <v>12402.580178014186</v>
      </c>
      <c r="Q16" s="133">
        <f t="shared" si="18"/>
        <v>12245.454921970504</v>
      </c>
      <c r="R16" s="133">
        <f t="shared" si="18"/>
        <v>12132.569499159948</v>
      </c>
      <c r="S16" s="133">
        <f t="shared" si="18"/>
        <v>12019.684076349393</v>
      </c>
      <c r="T16" s="133">
        <f t="shared" si="18"/>
        <v>11906.798653538839</v>
      </c>
      <c r="U16" s="133">
        <f t="shared" si="18"/>
        <v>11793.913230728283</v>
      </c>
      <c r="V16" s="133">
        <f t="shared" si="18"/>
        <v>11681.027807917728</v>
      </c>
      <c r="W16" s="133">
        <f t="shared" si="18"/>
        <v>11601.806300903309</v>
      </c>
      <c r="X16" s="133">
        <f t="shared" ref="X16:AF21" si="19">X$15*BC16</f>
        <v>11522.584793888891</v>
      </c>
      <c r="Y16" s="133">
        <f t="shared" si="19"/>
        <v>11443.363286874472</v>
      </c>
      <c r="Z16" s="133">
        <f t="shared" si="19"/>
        <v>11364.141779860054</v>
      </c>
      <c r="AA16" s="133">
        <f t="shared" si="19"/>
        <v>11284.920272845633</v>
      </c>
      <c r="AB16" s="133">
        <f t="shared" si="19"/>
        <v>11386.221793936067</v>
      </c>
      <c r="AC16" s="133">
        <f t="shared" si="19"/>
        <v>11487.523315026501</v>
      </c>
      <c r="AD16" s="133">
        <f t="shared" si="19"/>
        <v>11588.824836116937</v>
      </c>
      <c r="AE16" s="133">
        <f t="shared" si="19"/>
        <v>11690.126357207371</v>
      </c>
      <c r="AF16" s="133">
        <f t="shared" si="19"/>
        <v>11791.427878297805</v>
      </c>
      <c r="AG16" s="161">
        <f>B16/B$15</f>
        <v>1.8551573067842046E-2</v>
      </c>
      <c r="AH16" s="161">
        <f t="shared" ref="AH16:AK21" si="20">C16/C$15</f>
        <v>2.095176412787661E-2</v>
      </c>
      <c r="AI16" s="161">
        <f t="shared" si="20"/>
        <v>2.3290371447789445E-2</v>
      </c>
      <c r="AJ16" s="161">
        <f t="shared" si="20"/>
        <v>2.5569735165596595E-2</v>
      </c>
      <c r="AK16" s="161">
        <f t="shared" si="20"/>
        <v>2.7792078337563638E-2</v>
      </c>
      <c r="AL16" s="174">
        <v>2.9959514170040426E-2</v>
      </c>
      <c r="AM16" s="174">
        <v>3.316180674671234E-2</v>
      </c>
      <c r="AN16" s="174">
        <v>3.642056690837172E-2</v>
      </c>
      <c r="AO16" s="174">
        <v>3.9737301521323397E-2</v>
      </c>
      <c r="AP16" s="174">
        <v>4.3113571548397844E-2</v>
      </c>
      <c r="AQ16" s="174">
        <v>4.6550994498518745E-2</v>
      </c>
      <c r="AR16" s="174">
        <v>4.6550994498518745E-2</v>
      </c>
      <c r="AS16" s="174">
        <v>4.6550994498518745E-2</v>
      </c>
      <c r="AT16" s="174">
        <v>4.6550994498518745E-2</v>
      </c>
      <c r="AU16" s="174">
        <v>4.6550994498518745E-2</v>
      </c>
      <c r="AV16" s="174">
        <v>4.6550994498518745E-2</v>
      </c>
      <c r="AW16" s="174">
        <v>4.6550994498518745E-2</v>
      </c>
      <c r="AX16" s="174">
        <v>4.6550994498518745E-2</v>
      </c>
      <c r="AY16" s="174">
        <v>4.6550994498518745E-2</v>
      </c>
      <c r="AZ16" s="174">
        <v>4.6550994498518745E-2</v>
      </c>
      <c r="BA16" s="174">
        <v>4.6550994498518745E-2</v>
      </c>
      <c r="BB16" s="174">
        <v>4.6550994498518745E-2</v>
      </c>
      <c r="BC16" s="174">
        <v>4.6550994498518745E-2</v>
      </c>
      <c r="BD16" s="174">
        <v>4.6550994498518745E-2</v>
      </c>
      <c r="BE16" s="174">
        <v>4.6550994498518745E-2</v>
      </c>
      <c r="BF16" s="175">
        <v>4.6550994498518745E-2</v>
      </c>
      <c r="BG16" s="130">
        <v>4.6550994498518745E-2</v>
      </c>
      <c r="BH16" s="130">
        <v>4.6550994498518745E-2</v>
      </c>
      <c r="BI16" s="130">
        <v>4.6550994498518745E-2</v>
      </c>
      <c r="BJ16" s="130">
        <v>4.6550994498518745E-2</v>
      </c>
      <c r="BK16" s="130">
        <v>4.6550994498518745E-2</v>
      </c>
    </row>
    <row r="17" spans="1:97" x14ac:dyDescent="0.35">
      <c r="A17" s="131" t="s">
        <v>12</v>
      </c>
      <c r="B17" s="132">
        <f>'Initial demand info'!F18</f>
        <v>31253.426930000005</v>
      </c>
      <c r="C17" s="128">
        <f t="shared" si="17"/>
        <v>32182.460142821394</v>
      </c>
      <c r="D17" s="128">
        <f t="shared" si="17"/>
        <v>33111.493355642786</v>
      </c>
      <c r="E17" s="128">
        <f t="shared" si="17"/>
        <v>34040.526568464178</v>
      </c>
      <c r="F17" s="128">
        <f t="shared" si="17"/>
        <v>34969.55978128557</v>
      </c>
      <c r="G17" s="133">
        <f t="shared" ref="G17:G21" si="21">G$15*AL17</f>
        <v>35898.592994106948</v>
      </c>
      <c r="H17" s="133">
        <f t="shared" si="18"/>
        <v>35095.067885670651</v>
      </c>
      <c r="I17" s="133">
        <f t="shared" si="18"/>
        <v>34290.174872259224</v>
      </c>
      <c r="J17" s="133">
        <f t="shared" si="18"/>
        <v>33483.877450630745</v>
      </c>
      <c r="K17" s="133">
        <f t="shared" si="18"/>
        <v>32676.137807076306</v>
      </c>
      <c r="L17" s="133">
        <f t="shared" si="18"/>
        <v>31866.916758080199</v>
      </c>
      <c r="M17" s="133">
        <f t="shared" si="18"/>
        <v>31482.674086482479</v>
      </c>
      <c r="N17" s="133">
        <f t="shared" si="18"/>
        <v>31098.431414884755</v>
      </c>
      <c r="O17" s="133">
        <f t="shared" si="18"/>
        <v>30714.188743287035</v>
      </c>
      <c r="P17" s="133">
        <f t="shared" si="18"/>
        <v>30329.946071689312</v>
      </c>
      <c r="Q17" s="133">
        <f t="shared" si="18"/>
        <v>29945.703400091577</v>
      </c>
      <c r="R17" s="133">
        <f t="shared" si="18"/>
        <v>29669.647229763945</v>
      </c>
      <c r="S17" s="133">
        <f t="shared" si="18"/>
        <v>29393.591059436316</v>
      </c>
      <c r="T17" s="133">
        <f t="shared" si="18"/>
        <v>29117.534889108683</v>
      </c>
      <c r="U17" s="133">
        <f t="shared" si="18"/>
        <v>28841.478718781054</v>
      </c>
      <c r="V17" s="133">
        <f t="shared" si="18"/>
        <v>28565.422548453422</v>
      </c>
      <c r="W17" s="133">
        <f t="shared" si="18"/>
        <v>28371.68995402725</v>
      </c>
      <c r="X17" s="133">
        <f t="shared" si="19"/>
        <v>28177.957359601081</v>
      </c>
      <c r="Y17" s="133">
        <f t="shared" si="19"/>
        <v>27984.224765174913</v>
      </c>
      <c r="Z17" s="133">
        <f t="shared" si="19"/>
        <v>27790.492170748745</v>
      </c>
      <c r="AA17" s="133">
        <f t="shared" si="19"/>
        <v>27596.759576322569</v>
      </c>
      <c r="AB17" s="133">
        <f t="shared" si="19"/>
        <v>27844.487841534632</v>
      </c>
      <c r="AC17" s="133">
        <f t="shared" si="19"/>
        <v>28092.216106746695</v>
      </c>
      <c r="AD17" s="133">
        <f t="shared" si="19"/>
        <v>28339.944371958758</v>
      </c>
      <c r="AE17" s="133">
        <f t="shared" si="19"/>
        <v>28587.672637170821</v>
      </c>
      <c r="AF17" s="133">
        <f t="shared" si="19"/>
        <v>28835.400902382888</v>
      </c>
      <c r="AG17" s="161">
        <f t="shared" ref="AG17:AG21" si="22">B17/B$15</f>
        <v>0.11458099314064607</v>
      </c>
      <c r="AH17" s="161">
        <f t="shared" si="20"/>
        <v>0.11645368797309785</v>
      </c>
      <c r="AI17" s="161">
        <f t="shared" si="20"/>
        <v>0.11827833348405632</v>
      </c>
      <c r="AJ17" s="161">
        <f t="shared" si="20"/>
        <v>0.12005675551332347</v>
      </c>
      <c r="AK17" s="161">
        <f t="shared" si="20"/>
        <v>0.12179068855031148</v>
      </c>
      <c r="AL17" s="176">
        <v>0.12348178137651825</v>
      </c>
      <c r="AM17" s="176">
        <v>0.12162051784693297</v>
      </c>
      <c r="AN17" s="176">
        <v>0.11972643375082402</v>
      </c>
      <c r="AO17" s="176">
        <v>0.11779865325463466</v>
      </c>
      <c r="AP17" s="176">
        <v>0.11583626908236877</v>
      </c>
      <c r="AQ17" s="176">
        <v>0.11383834109183248</v>
      </c>
      <c r="AR17" s="176">
        <v>0.11383834109183248</v>
      </c>
      <c r="AS17" s="176">
        <v>0.11383834109183248</v>
      </c>
      <c r="AT17" s="176">
        <v>0.11383834109183248</v>
      </c>
      <c r="AU17" s="176">
        <v>0.11383834109183248</v>
      </c>
      <c r="AV17" s="176">
        <v>0.11383834109183248</v>
      </c>
      <c r="AW17" s="176">
        <v>0.11383834109183248</v>
      </c>
      <c r="AX17" s="176">
        <v>0.11383834109183248</v>
      </c>
      <c r="AY17" s="176">
        <v>0.11383834109183248</v>
      </c>
      <c r="AZ17" s="176">
        <v>0.11383834109183248</v>
      </c>
      <c r="BA17" s="176">
        <v>0.11383834109183248</v>
      </c>
      <c r="BB17" s="176">
        <v>0.11383834109183248</v>
      </c>
      <c r="BC17" s="176">
        <v>0.11383834109183248</v>
      </c>
      <c r="BD17" s="176">
        <v>0.11383834109183248</v>
      </c>
      <c r="BE17" s="176">
        <v>0.11383834109183248</v>
      </c>
      <c r="BF17" s="177">
        <v>0.11383834109183248</v>
      </c>
      <c r="BG17" s="135">
        <v>0.11383834109183248</v>
      </c>
      <c r="BH17" s="135">
        <v>0.11383834109183248</v>
      </c>
      <c r="BI17" s="135">
        <v>0.11383834109183248</v>
      </c>
      <c r="BJ17" s="135">
        <v>0.11383834109183248</v>
      </c>
      <c r="BK17" s="135">
        <v>0.11383834109183248</v>
      </c>
    </row>
    <row r="18" spans="1:97" x14ac:dyDescent="0.35">
      <c r="A18" s="136" t="s">
        <v>11</v>
      </c>
      <c r="B18" s="127">
        <f>'Initial demand info'!F19</f>
        <v>117304.54125000001</v>
      </c>
      <c r="C18" s="128">
        <f t="shared" si="17"/>
        <v>116371.47135761335</v>
      </c>
      <c r="D18" s="128">
        <f t="shared" si="17"/>
        <v>115438.40146522669</v>
      </c>
      <c r="E18" s="128">
        <f t="shared" si="17"/>
        <v>114505.33157284003</v>
      </c>
      <c r="F18" s="128">
        <f t="shared" si="17"/>
        <v>113572.26168045338</v>
      </c>
      <c r="G18" s="133">
        <f t="shared" si="21"/>
        <v>112639.1917880667</v>
      </c>
      <c r="H18" s="133">
        <f t="shared" si="18"/>
        <v>112615.33536449587</v>
      </c>
      <c r="I18" s="133">
        <f t="shared" si="18"/>
        <v>112593.54736101082</v>
      </c>
      <c r="J18" s="133">
        <f t="shared" si="18"/>
        <v>112573.88297445647</v>
      </c>
      <c r="K18" s="133">
        <f t="shared" si="18"/>
        <v>112556.39938324541</v>
      </c>
      <c r="L18" s="133">
        <f t="shared" si="18"/>
        <v>112541.15583708616</v>
      </c>
      <c r="M18" s="133">
        <f t="shared" si="18"/>
        <v>111184.16498943621</v>
      </c>
      <c r="N18" s="133">
        <f t="shared" si="18"/>
        <v>109827.17414178626</v>
      </c>
      <c r="O18" s="133">
        <f t="shared" si="18"/>
        <v>108470.18329413632</v>
      </c>
      <c r="P18" s="133">
        <f t="shared" si="18"/>
        <v>107113.19244648637</v>
      </c>
      <c r="Q18" s="133">
        <f t="shared" si="18"/>
        <v>105756.20159883637</v>
      </c>
      <c r="R18" s="133">
        <f t="shared" si="18"/>
        <v>104781.28203819976</v>
      </c>
      <c r="S18" s="133">
        <f t="shared" si="18"/>
        <v>103806.36247756315</v>
      </c>
      <c r="T18" s="133">
        <f t="shared" si="18"/>
        <v>102831.44291692653</v>
      </c>
      <c r="U18" s="133">
        <f t="shared" si="18"/>
        <v>101856.52335628992</v>
      </c>
      <c r="V18" s="133">
        <f t="shared" si="18"/>
        <v>100881.6037956533</v>
      </c>
      <c r="W18" s="133">
        <f t="shared" si="18"/>
        <v>100197.41805325604</v>
      </c>
      <c r="X18" s="133">
        <f t="shared" si="19"/>
        <v>99513.232310858803</v>
      </c>
      <c r="Y18" s="133">
        <f t="shared" si="19"/>
        <v>98829.046568461548</v>
      </c>
      <c r="Z18" s="133">
        <f t="shared" si="19"/>
        <v>98144.860826064294</v>
      </c>
      <c r="AA18" s="133">
        <f t="shared" si="19"/>
        <v>97460.675083667025</v>
      </c>
      <c r="AB18" s="133">
        <f t="shared" si="19"/>
        <v>98335.551856720776</v>
      </c>
      <c r="AC18" s="133">
        <f t="shared" si="19"/>
        <v>99210.428629774528</v>
      </c>
      <c r="AD18" s="133">
        <f t="shared" si="19"/>
        <v>100085.30540282829</v>
      </c>
      <c r="AE18" s="133">
        <f t="shared" si="19"/>
        <v>100960.18217588204</v>
      </c>
      <c r="AF18" s="133">
        <f t="shared" si="19"/>
        <v>101835.0589489358</v>
      </c>
      <c r="AG18" s="161">
        <f t="shared" si="22"/>
        <v>0.43006070554877496</v>
      </c>
      <c r="AH18" s="161">
        <f t="shared" si="20"/>
        <v>0.42109543379556325</v>
      </c>
      <c r="AI18" s="161">
        <f t="shared" si="20"/>
        <v>0.41236019163248033</v>
      </c>
      <c r="AJ18" s="161">
        <f t="shared" si="20"/>
        <v>0.40384623809985709</v>
      </c>
      <c r="AK18" s="161">
        <f t="shared" si="20"/>
        <v>0.39554526956558878</v>
      </c>
      <c r="AL18" s="174">
        <v>0.38744939271255063</v>
      </c>
      <c r="AM18" s="174">
        <v>0.39026382422608841</v>
      </c>
      <c r="AN18" s="174">
        <v>0.39312788398154253</v>
      </c>
      <c r="AO18" s="174">
        <v>0.39604289633385981</v>
      </c>
      <c r="AP18" s="174">
        <v>0.3990102331823519</v>
      </c>
      <c r="AQ18" s="174">
        <v>0.40203131612357179</v>
      </c>
      <c r="AR18" s="174">
        <v>0.40203131612357179</v>
      </c>
      <c r="AS18" s="174">
        <v>0.40203131612357179</v>
      </c>
      <c r="AT18" s="174">
        <v>0.40203131612357179</v>
      </c>
      <c r="AU18" s="174">
        <v>0.40203131612357179</v>
      </c>
      <c r="AV18" s="174">
        <v>0.40203131612357179</v>
      </c>
      <c r="AW18" s="174">
        <v>0.40203131612357179</v>
      </c>
      <c r="AX18" s="174">
        <v>0.40203131612357179</v>
      </c>
      <c r="AY18" s="174">
        <v>0.40203131612357179</v>
      </c>
      <c r="AZ18" s="174">
        <v>0.40203131612357179</v>
      </c>
      <c r="BA18" s="174">
        <v>0.40203131612357179</v>
      </c>
      <c r="BB18" s="174">
        <v>0.40203131612357179</v>
      </c>
      <c r="BC18" s="174">
        <v>0.40203131612357179</v>
      </c>
      <c r="BD18" s="174">
        <v>0.40203131612357179</v>
      </c>
      <c r="BE18" s="174">
        <v>0.40203131612357179</v>
      </c>
      <c r="BF18" s="175">
        <v>0.40203131612357179</v>
      </c>
      <c r="BG18" s="130">
        <v>0.40203131612357179</v>
      </c>
      <c r="BH18" s="130">
        <v>0.40203131612357179</v>
      </c>
      <c r="BI18" s="130">
        <v>0.40203131612357179</v>
      </c>
      <c r="BJ18" s="130">
        <v>0.40203131612357179</v>
      </c>
      <c r="BK18" s="130">
        <v>0.40203131612357179</v>
      </c>
    </row>
    <row r="19" spans="1:97" x14ac:dyDescent="0.35">
      <c r="A19" s="131" t="s">
        <v>9</v>
      </c>
      <c r="B19" s="132">
        <f>'Initial demand info'!F20</f>
        <v>93985.972570000013</v>
      </c>
      <c r="C19" s="128">
        <f t="shared" si="17"/>
        <v>94350.387693510216</v>
      </c>
      <c r="D19" s="128">
        <f t="shared" si="17"/>
        <v>94714.80281702042</v>
      </c>
      <c r="E19" s="128">
        <f t="shared" si="17"/>
        <v>95079.217940530623</v>
      </c>
      <c r="F19" s="128">
        <f t="shared" si="17"/>
        <v>95443.633064040827</v>
      </c>
      <c r="G19" s="133">
        <f t="shared" si="21"/>
        <v>95808.048187551001</v>
      </c>
      <c r="H19" s="133">
        <f t="shared" si="18"/>
        <v>94867.460201359543</v>
      </c>
      <c r="I19" s="133">
        <f t="shared" si="18"/>
        <v>93926.287674873849</v>
      </c>
      <c r="J19" s="133">
        <f t="shared" si="18"/>
        <v>92984.515009338036</v>
      </c>
      <c r="K19" s="133">
        <f t="shared" si="18"/>
        <v>92042.126046000601</v>
      </c>
      <c r="L19" s="133">
        <f t="shared" si="18"/>
        <v>91099.104040757098</v>
      </c>
      <c r="M19" s="133">
        <f t="shared" si="18"/>
        <v>90000.655659869939</v>
      </c>
      <c r="N19" s="133">
        <f t="shared" si="18"/>
        <v>88902.207278982765</v>
      </c>
      <c r="O19" s="133">
        <f t="shared" si="18"/>
        <v>87803.758898095606</v>
      </c>
      <c r="P19" s="133">
        <f t="shared" si="18"/>
        <v>86705.310517208432</v>
      </c>
      <c r="Q19" s="133">
        <f t="shared" si="18"/>
        <v>85606.86213632123</v>
      </c>
      <c r="R19" s="133">
        <f t="shared" si="18"/>
        <v>84817.690407763803</v>
      </c>
      <c r="S19" s="133">
        <f t="shared" si="18"/>
        <v>84028.518679206376</v>
      </c>
      <c r="T19" s="133">
        <f t="shared" si="18"/>
        <v>83239.346950648949</v>
      </c>
      <c r="U19" s="133">
        <f t="shared" si="18"/>
        <v>82450.175222091522</v>
      </c>
      <c r="V19" s="133">
        <f t="shared" si="18"/>
        <v>81661.003493534081</v>
      </c>
      <c r="W19" s="133">
        <f t="shared" si="18"/>
        <v>81107.173139951468</v>
      </c>
      <c r="X19" s="133">
        <f t="shared" si="19"/>
        <v>80553.342786368856</v>
      </c>
      <c r="Y19" s="133">
        <f t="shared" si="19"/>
        <v>79999.512432786229</v>
      </c>
      <c r="Z19" s="133">
        <f t="shared" si="19"/>
        <v>79445.682079203616</v>
      </c>
      <c r="AA19" s="133">
        <f t="shared" si="19"/>
        <v>78891.851725620989</v>
      </c>
      <c r="AB19" s="133">
        <f t="shared" si="19"/>
        <v>79600.041450335018</v>
      </c>
      <c r="AC19" s="133">
        <f t="shared" si="19"/>
        <v>80308.231175049063</v>
      </c>
      <c r="AD19" s="133">
        <f t="shared" si="19"/>
        <v>81016.420899763107</v>
      </c>
      <c r="AE19" s="133">
        <f t="shared" si="19"/>
        <v>81724.610624477136</v>
      </c>
      <c r="AF19" s="133">
        <f t="shared" si="19"/>
        <v>82432.80034919118</v>
      </c>
      <c r="AG19" s="161">
        <f t="shared" si="22"/>
        <v>0.3445704083101046</v>
      </c>
      <c r="AH19" s="161">
        <f t="shared" si="20"/>
        <v>0.34141114631510566</v>
      </c>
      <c r="AI19" s="161">
        <f t="shared" si="20"/>
        <v>0.33833294418776305</v>
      </c>
      <c r="AJ19" s="161">
        <f t="shared" si="20"/>
        <v>0.33533272171116402</v>
      </c>
      <c r="AK19" s="161">
        <f t="shared" si="20"/>
        <v>0.33240755277776263</v>
      </c>
      <c r="AL19" s="176">
        <v>0.32955465587044541</v>
      </c>
      <c r="AM19" s="176">
        <v>0.32875929102344204</v>
      </c>
      <c r="AN19" s="176">
        <v>0.32794990112063288</v>
      </c>
      <c r="AO19" s="176">
        <v>0.32712611189625085</v>
      </c>
      <c r="AP19" s="176">
        <v>0.32628753564838126</v>
      </c>
      <c r="AQ19" s="176">
        <v>0.3254337706305544</v>
      </c>
      <c r="AR19" s="176">
        <v>0.3254337706305544</v>
      </c>
      <c r="AS19" s="176">
        <v>0.3254337706305544</v>
      </c>
      <c r="AT19" s="176">
        <v>0.3254337706305544</v>
      </c>
      <c r="AU19" s="176">
        <v>0.3254337706305544</v>
      </c>
      <c r="AV19" s="176">
        <v>0.3254337706305544</v>
      </c>
      <c r="AW19" s="176">
        <v>0.3254337706305544</v>
      </c>
      <c r="AX19" s="176">
        <v>0.3254337706305544</v>
      </c>
      <c r="AY19" s="176">
        <v>0.3254337706305544</v>
      </c>
      <c r="AZ19" s="176">
        <v>0.3254337706305544</v>
      </c>
      <c r="BA19" s="176">
        <v>0.3254337706305544</v>
      </c>
      <c r="BB19" s="176">
        <v>0.3254337706305544</v>
      </c>
      <c r="BC19" s="176">
        <v>0.3254337706305544</v>
      </c>
      <c r="BD19" s="176">
        <v>0.3254337706305544</v>
      </c>
      <c r="BE19" s="176">
        <v>0.3254337706305544</v>
      </c>
      <c r="BF19" s="177">
        <v>0.3254337706305544</v>
      </c>
      <c r="BG19" s="135">
        <v>0.3254337706305544</v>
      </c>
      <c r="BH19" s="135">
        <v>0.3254337706305544</v>
      </c>
      <c r="BI19" s="135">
        <v>0.3254337706305544</v>
      </c>
      <c r="BJ19" s="135">
        <v>0.3254337706305544</v>
      </c>
      <c r="BK19" s="135">
        <v>0.3254337706305544</v>
      </c>
    </row>
    <row r="20" spans="1:97" x14ac:dyDescent="0.35">
      <c r="A20" s="136" t="s">
        <v>10</v>
      </c>
      <c r="B20" s="127">
        <f>'Initial demand info'!F21</f>
        <v>20397.752330000003</v>
      </c>
      <c r="C20" s="128">
        <f t="shared" si="17"/>
        <v>19778.590828022116</v>
      </c>
      <c r="D20" s="128">
        <f t="shared" si="17"/>
        <v>19159.429326044228</v>
      </c>
      <c r="E20" s="128">
        <f t="shared" si="17"/>
        <v>18540.267824066341</v>
      </c>
      <c r="F20" s="128">
        <f t="shared" si="17"/>
        <v>17921.106322088453</v>
      </c>
      <c r="G20" s="133">
        <f t="shared" si="21"/>
        <v>17301.944820110559</v>
      </c>
      <c r="H20" s="133">
        <f t="shared" si="18"/>
        <v>16899.37117127324</v>
      </c>
      <c r="I20" s="133">
        <f t="shared" si="18"/>
        <v>16496.099267521811</v>
      </c>
      <c r="J20" s="133">
        <f t="shared" si="18"/>
        <v>16092.110475567773</v>
      </c>
      <c r="K20" s="133">
        <f t="shared" si="18"/>
        <v>15687.385493187245</v>
      </c>
      <c r="L20" s="133">
        <f t="shared" si="18"/>
        <v>15281.904318930643</v>
      </c>
      <c r="M20" s="133">
        <f t="shared" si="18"/>
        <v>15097.639245933966</v>
      </c>
      <c r="N20" s="133">
        <f t="shared" si="18"/>
        <v>14913.374172937289</v>
      </c>
      <c r="O20" s="133">
        <f t="shared" si="18"/>
        <v>14729.109099940613</v>
      </c>
      <c r="P20" s="133">
        <f t="shared" si="18"/>
        <v>14544.844026943936</v>
      </c>
      <c r="Q20" s="133">
        <f t="shared" si="18"/>
        <v>14360.578953947252</v>
      </c>
      <c r="R20" s="133">
        <f t="shared" si="18"/>
        <v>14228.195139923964</v>
      </c>
      <c r="S20" s="133">
        <f t="shared" si="18"/>
        <v>14095.811325900677</v>
      </c>
      <c r="T20" s="133">
        <f t="shared" si="18"/>
        <v>13963.427511877389</v>
      </c>
      <c r="U20" s="133">
        <f t="shared" si="18"/>
        <v>13831.043697854102</v>
      </c>
      <c r="V20" s="133">
        <f t="shared" si="18"/>
        <v>13698.659883830813</v>
      </c>
      <c r="W20" s="133">
        <f t="shared" si="18"/>
        <v>13605.754661968449</v>
      </c>
      <c r="X20" s="133">
        <f t="shared" si="19"/>
        <v>13512.849440106087</v>
      </c>
      <c r="Y20" s="133">
        <f t="shared" si="19"/>
        <v>13419.944218243723</v>
      </c>
      <c r="Z20" s="133">
        <f t="shared" si="19"/>
        <v>13327.03899638136</v>
      </c>
      <c r="AA20" s="133">
        <f t="shared" si="19"/>
        <v>13234.133774518992</v>
      </c>
      <c r="AB20" s="133">
        <f t="shared" si="19"/>
        <v>13352.932831070502</v>
      </c>
      <c r="AC20" s="133">
        <f t="shared" si="19"/>
        <v>13471.731887622012</v>
      </c>
      <c r="AD20" s="133">
        <f t="shared" si="19"/>
        <v>13590.530944173523</v>
      </c>
      <c r="AE20" s="133">
        <f t="shared" si="19"/>
        <v>13709.330000725033</v>
      </c>
      <c r="AF20" s="133">
        <f t="shared" si="19"/>
        <v>13828.129057276543</v>
      </c>
      <c r="AG20" s="161">
        <f t="shared" si="22"/>
        <v>7.4782030304806874E-2</v>
      </c>
      <c r="AH20" s="161">
        <f t="shared" si="20"/>
        <v>7.1569725701900191E-2</v>
      </c>
      <c r="AI20" s="161">
        <f t="shared" si="20"/>
        <v>6.8439841925881498E-2</v>
      </c>
      <c r="AJ20" s="161">
        <f t="shared" si="20"/>
        <v>6.5389247044361942E-2</v>
      </c>
      <c r="AK20" s="161">
        <f t="shared" si="20"/>
        <v>6.2414965821747444E-2</v>
      </c>
      <c r="AL20" s="174">
        <v>5.9514170040485835E-2</v>
      </c>
      <c r="AM20" s="174">
        <v>5.8564077432001968E-2</v>
      </c>
      <c r="AN20" s="174">
        <v>5.7597231377719188E-2</v>
      </c>
      <c r="AO20" s="174">
        <v>5.6613184803391815E-2</v>
      </c>
      <c r="AP20" s="174">
        <v>5.5611474584801215E-2</v>
      </c>
      <c r="AQ20" s="174">
        <v>5.4591620820990262E-2</v>
      </c>
      <c r="AR20" s="174">
        <v>5.4591620820990262E-2</v>
      </c>
      <c r="AS20" s="174">
        <v>5.4591620820990262E-2</v>
      </c>
      <c r="AT20" s="174">
        <v>5.4591620820990262E-2</v>
      </c>
      <c r="AU20" s="174">
        <v>5.4591620820990262E-2</v>
      </c>
      <c r="AV20" s="174">
        <v>5.4591620820990262E-2</v>
      </c>
      <c r="AW20" s="174">
        <v>5.4591620820990262E-2</v>
      </c>
      <c r="AX20" s="174">
        <v>5.4591620820990262E-2</v>
      </c>
      <c r="AY20" s="174">
        <v>5.4591620820990262E-2</v>
      </c>
      <c r="AZ20" s="174">
        <v>5.4591620820990262E-2</v>
      </c>
      <c r="BA20" s="174">
        <v>5.4591620820990262E-2</v>
      </c>
      <c r="BB20" s="174">
        <v>5.4591620820990262E-2</v>
      </c>
      <c r="BC20" s="174">
        <v>5.4591620820990262E-2</v>
      </c>
      <c r="BD20" s="174">
        <v>5.4591620820990262E-2</v>
      </c>
      <c r="BE20" s="174">
        <v>5.4591620820990262E-2</v>
      </c>
      <c r="BF20" s="175">
        <v>5.4591620820990262E-2</v>
      </c>
      <c r="BG20" s="130">
        <v>5.4591620820990262E-2</v>
      </c>
      <c r="BH20" s="130">
        <v>5.4591620820990262E-2</v>
      </c>
      <c r="BI20" s="130">
        <v>5.4591620820990262E-2</v>
      </c>
      <c r="BJ20" s="130">
        <v>5.4591620820990262E-2</v>
      </c>
      <c r="BK20" s="130">
        <v>5.4591620820990262E-2</v>
      </c>
    </row>
    <row r="21" spans="1:97" x14ac:dyDescent="0.35">
      <c r="A21" s="131" t="s">
        <v>14</v>
      </c>
      <c r="B21" s="132">
        <f>'Initial demand info'!F22</f>
        <v>4760.8800600000004</v>
      </c>
      <c r="C21" s="128">
        <f t="shared" si="17"/>
        <v>7881.1345974954111</v>
      </c>
      <c r="D21" s="128">
        <f t="shared" si="17"/>
        <v>11001.389134990823</v>
      </c>
      <c r="E21" s="128">
        <f t="shared" si="17"/>
        <v>14121.643672486232</v>
      </c>
      <c r="F21" s="128">
        <f t="shared" si="17"/>
        <v>17241.898209981642</v>
      </c>
      <c r="G21" s="133">
        <f t="shared" si="21"/>
        <v>20362.152747477052</v>
      </c>
      <c r="H21" s="133">
        <f t="shared" si="18"/>
        <v>19515.591812851108</v>
      </c>
      <c r="I21" s="133">
        <f t="shared" si="18"/>
        <v>18667.259686136986</v>
      </c>
      <c r="J21" s="133">
        <f t="shared" si="18"/>
        <v>17817.109102170489</v>
      </c>
      <c r="K21" s="133">
        <f t="shared" si="18"/>
        <v>16965.091098967205</v>
      </c>
      <c r="L21" s="133">
        <f t="shared" si="18"/>
        <v>16111.154940888124</v>
      </c>
      <c r="M21" s="133">
        <f t="shared" si="18"/>
        <v>15916.890987961395</v>
      </c>
      <c r="N21" s="133">
        <f t="shared" si="18"/>
        <v>15722.627035034666</v>
      </c>
      <c r="O21" s="133">
        <f t="shared" si="18"/>
        <v>15528.363082107937</v>
      </c>
      <c r="P21" s="133">
        <f t="shared" si="18"/>
        <v>15334.099129181208</v>
      </c>
      <c r="Q21" s="133">
        <f t="shared" si="18"/>
        <v>15139.835176254472</v>
      </c>
      <c r="R21" s="133">
        <f t="shared" si="18"/>
        <v>15000.267744415967</v>
      </c>
      <c r="S21" s="133">
        <f t="shared" si="18"/>
        <v>14860.700312577463</v>
      </c>
      <c r="T21" s="133">
        <f t="shared" si="18"/>
        <v>14721.132880738958</v>
      </c>
      <c r="U21" s="133">
        <f t="shared" si="18"/>
        <v>14581.565448900452</v>
      </c>
      <c r="V21" s="133">
        <f t="shared" si="18"/>
        <v>14441.998017061946</v>
      </c>
      <c r="W21" s="133">
        <f t="shared" si="18"/>
        <v>14344.051426571392</v>
      </c>
      <c r="X21" s="133">
        <f t="shared" si="19"/>
        <v>14246.104836080838</v>
      </c>
      <c r="Y21" s="133">
        <f t="shared" si="19"/>
        <v>14148.158245590284</v>
      </c>
      <c r="Z21" s="133">
        <f t="shared" si="19"/>
        <v>14050.211655099731</v>
      </c>
      <c r="AA21" s="133">
        <f t="shared" si="19"/>
        <v>13952.265064609173</v>
      </c>
      <c r="AB21" s="133">
        <f t="shared" si="19"/>
        <v>14077.510581593711</v>
      </c>
      <c r="AC21" s="133">
        <f t="shared" si="19"/>
        <v>14202.756098578249</v>
      </c>
      <c r="AD21" s="133">
        <f t="shared" si="19"/>
        <v>14328.001615562787</v>
      </c>
      <c r="AE21" s="133">
        <f t="shared" si="19"/>
        <v>14453.247132547325</v>
      </c>
      <c r="AF21" s="133">
        <f t="shared" si="19"/>
        <v>14578.492649531861</v>
      </c>
      <c r="AG21" s="161">
        <f t="shared" si="22"/>
        <v>1.7454289627825418E-2</v>
      </c>
      <c r="AH21" s="161">
        <f t="shared" si="20"/>
        <v>2.8518242086456463E-2</v>
      </c>
      <c r="AI21" s="161">
        <f t="shared" si="20"/>
        <v>3.9298317322029402E-2</v>
      </c>
      <c r="AJ21" s="161">
        <f t="shared" si="20"/>
        <v>4.9805302465696935E-2</v>
      </c>
      <c r="AK21" s="161">
        <f t="shared" si="20"/>
        <v>6.0049444947026138E-2</v>
      </c>
      <c r="AL21" s="176">
        <v>7.0040485829959517E-2</v>
      </c>
      <c r="AM21" s="176">
        <v>6.7630482724822361E-2</v>
      </c>
      <c r="AN21" s="176">
        <v>6.51779828609097E-2</v>
      </c>
      <c r="AO21" s="176">
        <v>6.2681852190539553E-2</v>
      </c>
      <c r="AP21" s="176">
        <v>6.0140915953699067E-2</v>
      </c>
      <c r="AQ21" s="176">
        <v>5.7553956834532384E-2</v>
      </c>
      <c r="AR21" s="176">
        <v>5.7553956834532384E-2</v>
      </c>
      <c r="AS21" s="176">
        <v>5.7553956834532384E-2</v>
      </c>
      <c r="AT21" s="176">
        <v>5.7553956834532384E-2</v>
      </c>
      <c r="AU21" s="176">
        <v>5.7553956834532384E-2</v>
      </c>
      <c r="AV21" s="176">
        <v>5.7553956834532384E-2</v>
      </c>
      <c r="AW21" s="176">
        <v>5.7553956834532384E-2</v>
      </c>
      <c r="AX21" s="176">
        <v>5.7553956834532384E-2</v>
      </c>
      <c r="AY21" s="176">
        <v>5.7553956834532384E-2</v>
      </c>
      <c r="AZ21" s="176">
        <v>5.7553956834532384E-2</v>
      </c>
      <c r="BA21" s="176">
        <v>5.7553956834532384E-2</v>
      </c>
      <c r="BB21" s="176">
        <v>5.7553956834532384E-2</v>
      </c>
      <c r="BC21" s="176">
        <v>5.7553956834532384E-2</v>
      </c>
      <c r="BD21" s="176">
        <v>5.7553956834532384E-2</v>
      </c>
      <c r="BE21" s="176">
        <v>5.7553956834532384E-2</v>
      </c>
      <c r="BF21" s="177">
        <v>5.7553956834532384E-2</v>
      </c>
      <c r="BG21" s="135">
        <v>5.7553956834532384E-2</v>
      </c>
      <c r="BH21" s="135">
        <v>5.7553956834532384E-2</v>
      </c>
      <c r="BI21" s="135">
        <v>5.7553956834532384E-2</v>
      </c>
      <c r="BJ21" s="135">
        <v>5.7553956834532384E-2</v>
      </c>
      <c r="BK21" s="135">
        <v>5.7553956834532384E-2</v>
      </c>
    </row>
    <row r="22" spans="1:97" ht="15" thickBot="1" x14ac:dyDescent="0.4">
      <c r="A22" s="136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30"/>
      <c r="BG22" s="130"/>
      <c r="BH22" s="130"/>
      <c r="BI22" s="130"/>
      <c r="BJ22" s="130"/>
      <c r="BK22" s="130"/>
    </row>
    <row r="23" spans="1:97" x14ac:dyDescent="0.35">
      <c r="A23" s="43" t="s">
        <v>6</v>
      </c>
      <c r="B23" s="124">
        <f>'Initial demand info'!F24</f>
        <v>336996.20653999998</v>
      </c>
      <c r="C23" s="147">
        <f>B23+($G23-$B23)/5</f>
        <v>350518.87592276727</v>
      </c>
      <c r="D23" s="147">
        <f t="shared" ref="D23:F23" si="23">C23+($G23-$B23)/5</f>
        <v>364041.54530553456</v>
      </c>
      <c r="E23" s="147">
        <f t="shared" si="23"/>
        <v>377564.21468830184</v>
      </c>
      <c r="F23" s="147">
        <f t="shared" si="23"/>
        <v>391086.88407106913</v>
      </c>
      <c r="G23" s="163">
        <f>'Initial demand info'!K35</f>
        <v>404609.55345383642</v>
      </c>
      <c r="H23" s="147">
        <f>G23+($L23-$G23)/5</f>
        <v>397162.89661415468</v>
      </c>
      <c r="I23" s="147">
        <f t="shared" ref="I23:K23" si="24">H23+($L23-$G23)/5</f>
        <v>389716.23977447295</v>
      </c>
      <c r="J23" s="147">
        <f t="shared" si="24"/>
        <v>382269.58293479122</v>
      </c>
      <c r="K23" s="147">
        <f t="shared" si="24"/>
        <v>374822.92609510949</v>
      </c>
      <c r="L23" s="163">
        <f>'Initial demand info'!L35</f>
        <v>367376.26925542764</v>
      </c>
      <c r="M23" s="147">
        <f>L23+($Q23-$L23)/5</f>
        <v>362849.88585341902</v>
      </c>
      <c r="N23" s="147">
        <f t="shared" ref="N23:P23" si="25">M23+($Q23-$L23)/5</f>
        <v>358323.5024514104</v>
      </c>
      <c r="O23" s="147">
        <f t="shared" si="25"/>
        <v>353797.11904940178</v>
      </c>
      <c r="P23" s="147">
        <f t="shared" si="25"/>
        <v>349270.73564739316</v>
      </c>
      <c r="Q23" s="163">
        <f>'Initial demand info'!M35</f>
        <v>344744.35224538465</v>
      </c>
      <c r="R23" s="147">
        <f>Q23+($V23-$Q23)/5</f>
        <v>339041.01782111067</v>
      </c>
      <c r="S23" s="147">
        <f t="shared" ref="S23:U23" si="26">R23+($V23-$Q23)/5</f>
        <v>333337.68339683668</v>
      </c>
      <c r="T23" s="147">
        <f t="shared" si="26"/>
        <v>327634.3489725627</v>
      </c>
      <c r="U23" s="147">
        <f t="shared" si="26"/>
        <v>321931.01454828872</v>
      </c>
      <c r="V23" s="163">
        <f>'Initial demand info'!N35</f>
        <v>316227.68012401467</v>
      </c>
      <c r="W23" s="147">
        <f>V23+($AA23-$V23)/5</f>
        <v>311445.94841352111</v>
      </c>
      <c r="X23" s="147">
        <f t="shared" ref="X23:Y23" si="27">W23+($AA23-$V23)/5</f>
        <v>306664.21670302755</v>
      </c>
      <c r="Y23" s="147">
        <f t="shared" si="27"/>
        <v>301882.48499253398</v>
      </c>
      <c r="Z23" s="147">
        <f>Y23+($AA23-$V23)/5</f>
        <v>297100.75328204042</v>
      </c>
      <c r="AA23" s="163">
        <f>'Initial demand info'!O35</f>
        <v>292319.02157154679</v>
      </c>
      <c r="AB23" s="147">
        <f>AA23+($AF23-$AA23)/5</f>
        <v>290092.72526839352</v>
      </c>
      <c r="AC23" s="147">
        <f t="shared" ref="AC23:AE23" si="28">AB23+($AF23-$AA23)/5</f>
        <v>287866.42896524025</v>
      </c>
      <c r="AD23" s="147">
        <f t="shared" si="28"/>
        <v>285640.13266208698</v>
      </c>
      <c r="AE23" s="147">
        <f t="shared" si="28"/>
        <v>283413.83635893371</v>
      </c>
      <c r="AF23" s="163">
        <f>'Initial demand info'!P35</f>
        <v>281187.54005578056</v>
      </c>
      <c r="AG23" s="138">
        <v>1</v>
      </c>
      <c r="AH23" s="138">
        <v>1</v>
      </c>
      <c r="AI23" s="138">
        <v>1</v>
      </c>
      <c r="AJ23" s="138">
        <v>1</v>
      </c>
      <c r="AK23" s="138">
        <v>1</v>
      </c>
      <c r="AL23" s="138">
        <v>1</v>
      </c>
      <c r="AM23" s="138">
        <v>1</v>
      </c>
      <c r="AN23" s="138">
        <v>1</v>
      </c>
      <c r="AO23" s="138">
        <v>1</v>
      </c>
      <c r="AP23" s="138">
        <v>1</v>
      </c>
      <c r="AQ23" s="138">
        <v>0.99999999999999989</v>
      </c>
      <c r="AR23" s="138">
        <v>0.99999999999999989</v>
      </c>
      <c r="AS23" s="138">
        <v>0.99999999999999989</v>
      </c>
      <c r="AT23" s="138">
        <v>0.99999999999999989</v>
      </c>
      <c r="AU23" s="138">
        <v>0.99999999999999989</v>
      </c>
      <c r="AV23" s="138">
        <v>0.99999999999999989</v>
      </c>
      <c r="AW23" s="138">
        <v>0.99999999999999989</v>
      </c>
      <c r="AX23" s="138">
        <v>0.99999999999999989</v>
      </c>
      <c r="AY23" s="138">
        <v>0.99999999999999989</v>
      </c>
      <c r="AZ23" s="138">
        <v>0.99999999999999989</v>
      </c>
      <c r="BA23" s="138">
        <v>0.99999999999999989</v>
      </c>
      <c r="BB23" s="138">
        <v>0.99999999999999989</v>
      </c>
      <c r="BC23" s="138">
        <v>0.99999999999999989</v>
      </c>
      <c r="BD23" s="138">
        <v>0.99999999999999989</v>
      </c>
      <c r="BE23" s="138">
        <v>0.99999999999999989</v>
      </c>
      <c r="BF23" s="138">
        <v>0.99999999999999989</v>
      </c>
      <c r="BG23" s="60">
        <v>0.99999999999999989</v>
      </c>
      <c r="BH23" s="60">
        <v>0.99999999999999989</v>
      </c>
      <c r="BI23" s="60">
        <v>0.99999999999999989</v>
      </c>
      <c r="BJ23" s="60">
        <v>0.99999999999999989</v>
      </c>
      <c r="BK23" s="60">
        <v>0.99999999999999989</v>
      </c>
    </row>
    <row r="24" spans="1:97" x14ac:dyDescent="0.35">
      <c r="A24" s="140"/>
      <c r="B24" s="129"/>
      <c r="C24" s="153"/>
      <c r="D24" s="153"/>
      <c r="E24" s="153"/>
      <c r="F24" s="153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43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53"/>
      <c r="BH24" s="153"/>
      <c r="BI24" s="153"/>
      <c r="BJ24" s="153"/>
      <c r="BK24" s="153"/>
    </row>
    <row r="25" spans="1:97" x14ac:dyDescent="0.35">
      <c r="A25" s="141" t="s">
        <v>11</v>
      </c>
      <c r="B25" s="132">
        <f>'Initial demand info'!F25</f>
        <v>10114.180690000001</v>
      </c>
      <c r="C25" s="153">
        <f t="shared" ref="C25:F39" si="29">B25+($G25-$B25)/5</f>
        <v>12666.191207529162</v>
      </c>
      <c r="D25" s="153">
        <f t="shared" si="29"/>
        <v>15218.201725058323</v>
      </c>
      <c r="E25" s="153">
        <f t="shared" si="29"/>
        <v>17770.212242587484</v>
      </c>
      <c r="F25" s="153">
        <f t="shared" si="29"/>
        <v>20322.222760116645</v>
      </c>
      <c r="G25" s="133">
        <f>G$23*AL25</f>
        <v>22874.233277645802</v>
      </c>
      <c r="H25" s="133">
        <f t="shared" ref="H25:P25" si="30">H$23*AM25</f>
        <v>27148.598209754527</v>
      </c>
      <c r="I25" s="133">
        <f t="shared" si="30"/>
        <v>31397.746579647366</v>
      </c>
      <c r="J25" s="133">
        <f t="shared" si="30"/>
        <v>35620.419289157253</v>
      </c>
      <c r="K25" s="133">
        <f t="shared" si="30"/>
        <v>39815.271996635282</v>
      </c>
      <c r="L25" s="133">
        <f t="shared" si="30"/>
        <v>43980.867778804619</v>
      </c>
      <c r="M25" s="133">
        <f t="shared" si="30"/>
        <v>43438.98664335897</v>
      </c>
      <c r="N25" s="133">
        <f t="shared" si="30"/>
        <v>42897.105507913322</v>
      </c>
      <c r="O25" s="133">
        <f t="shared" si="30"/>
        <v>42355.224372467674</v>
      </c>
      <c r="P25" s="133">
        <f t="shared" si="30"/>
        <v>41813.343237022025</v>
      </c>
      <c r="Q25" s="133">
        <f t="shared" ref="Q25" si="31">Q$23*AV25</f>
        <v>41271.462101576391</v>
      </c>
      <c r="R25" s="133">
        <f t="shared" ref="R25" si="32">R$23*AW25</f>
        <v>40588.680936313111</v>
      </c>
      <c r="S25" s="133">
        <f t="shared" ref="S25" si="33">S$23*AX25</f>
        <v>39905.89977104983</v>
      </c>
      <c r="T25" s="133">
        <f t="shared" ref="T25" si="34">T$23*AY25</f>
        <v>39223.118605786542</v>
      </c>
      <c r="U25" s="133">
        <f t="shared" ref="U25" si="35">U$23*AZ25</f>
        <v>38540.337440523261</v>
      </c>
      <c r="V25" s="133">
        <f t="shared" ref="V25" si="36">V$23*BA25</f>
        <v>37857.556275259965</v>
      </c>
      <c r="W25" s="133">
        <f t="shared" ref="W25" si="37">W$23*BB25</f>
        <v>37285.105826734361</v>
      </c>
      <c r="X25" s="133">
        <f t="shared" ref="X25" si="38">X$23*BC25</f>
        <v>36712.65537820875</v>
      </c>
      <c r="Y25" s="133">
        <f t="shared" ref="Y25" si="39">Y$23*BD25</f>
        <v>36140.204929683139</v>
      </c>
      <c r="Z25" s="133">
        <f t="shared" ref="Z25" si="40">Z$23*BE25</f>
        <v>35567.754481157528</v>
      </c>
      <c r="AA25" s="133">
        <f t="shared" ref="AA25:AF25" si="41">AA$23*BF25</f>
        <v>34995.30403263191</v>
      </c>
      <c r="AB25" s="133">
        <f t="shared" si="41"/>
        <v>34728.780439412702</v>
      </c>
      <c r="AC25" s="133">
        <f t="shared" si="41"/>
        <v>34462.256846193486</v>
      </c>
      <c r="AD25" s="133">
        <f t="shared" si="41"/>
        <v>34195.733252974278</v>
      </c>
      <c r="AE25" s="133">
        <f t="shared" si="41"/>
        <v>33929.209659755063</v>
      </c>
      <c r="AF25" s="133">
        <f t="shared" si="41"/>
        <v>33662.686066535862</v>
      </c>
      <c r="AG25" s="161">
        <f>B25/B$23</f>
        <v>3.001274344849188E-2</v>
      </c>
      <c r="AH25" s="161">
        <f t="shared" ref="AH25:AK25" si="42">C25/C$23</f>
        <v>3.6135546692555323E-2</v>
      </c>
      <c r="AI25" s="161">
        <f t="shared" si="42"/>
        <v>4.1803475238755834E-2</v>
      </c>
      <c r="AJ25" s="161">
        <f t="shared" si="42"/>
        <v>4.706540384728379E-2</v>
      </c>
      <c r="AK25" s="161">
        <f t="shared" si="42"/>
        <v>5.1963447478907646E-2</v>
      </c>
      <c r="AL25" s="133">
        <v>5.6534090909090749E-2</v>
      </c>
      <c r="AM25" s="133">
        <v>6.8356330465908291E-2</v>
      </c>
      <c r="AN25" s="133">
        <v>8.056566130735815E-2</v>
      </c>
      <c r="AO25" s="133">
        <v>9.3181411441865883E-2</v>
      </c>
      <c r="AP25" s="133">
        <v>0.10622421742295547</v>
      </c>
      <c r="AQ25" s="133">
        <v>0.11971613699475457</v>
      </c>
      <c r="AR25" s="133">
        <v>0.11971613699475457</v>
      </c>
      <c r="AS25" s="133">
        <v>0.11971613699475457</v>
      </c>
      <c r="AT25" s="133">
        <v>0.11971613699475457</v>
      </c>
      <c r="AU25" s="133">
        <v>0.11971613699475457</v>
      </c>
      <c r="AV25" s="133">
        <v>0.11971613699475457</v>
      </c>
      <c r="AW25" s="133">
        <v>0.11971613699475457</v>
      </c>
      <c r="AX25" s="133">
        <v>0.11971613699475457</v>
      </c>
      <c r="AY25" s="133">
        <v>0.11971613699475457</v>
      </c>
      <c r="AZ25" s="133">
        <v>0.11971613699475457</v>
      </c>
      <c r="BA25" s="133">
        <v>0.11971613699475457</v>
      </c>
      <c r="BB25" s="133">
        <v>0.11971613699475457</v>
      </c>
      <c r="BC25" s="133">
        <v>0.11971613699475457</v>
      </c>
      <c r="BD25" s="133">
        <v>0.11971613699475457</v>
      </c>
      <c r="BE25" s="133">
        <v>0.11971613699475457</v>
      </c>
      <c r="BF25" s="133">
        <v>0.11971613699475457</v>
      </c>
      <c r="BG25" s="60">
        <v>0.11971613699475457</v>
      </c>
      <c r="BH25" s="60">
        <v>0.11971613699475457</v>
      </c>
      <c r="BI25" s="60">
        <v>0.11971613699475457</v>
      </c>
      <c r="BJ25" s="60">
        <v>0.11971613699475457</v>
      </c>
      <c r="BK25" s="60">
        <v>0.11971613699475457</v>
      </c>
    </row>
    <row r="26" spans="1:97" x14ac:dyDescent="0.35">
      <c r="A26" s="142" t="s">
        <v>113</v>
      </c>
      <c r="B26" s="129"/>
      <c r="C26" s="153"/>
      <c r="D26" s="153"/>
      <c r="E26" s="153"/>
      <c r="F26" s="153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43">
        <f>Q25/(Q25+Q45+Q35)</f>
        <v>0.52121814591421345</v>
      </c>
      <c r="R26" s="143">
        <f t="shared" ref="R26:AA26" si="43">R25/(R25+R45+R35)</f>
        <v>0.52121814591421345</v>
      </c>
      <c r="S26" s="143">
        <f t="shared" si="43"/>
        <v>0.52121814591421356</v>
      </c>
      <c r="T26" s="143">
        <f t="shared" si="43"/>
        <v>0.52121814591421345</v>
      </c>
      <c r="U26" s="143">
        <f t="shared" si="43"/>
        <v>0.52121814591421356</v>
      </c>
      <c r="V26" s="143">
        <f t="shared" si="43"/>
        <v>0.52121814591421356</v>
      </c>
      <c r="W26" s="143">
        <f t="shared" si="43"/>
        <v>0.52121814591421356</v>
      </c>
      <c r="X26" s="143">
        <f t="shared" si="43"/>
        <v>0.52121814591421356</v>
      </c>
      <c r="Y26" s="143">
        <f t="shared" si="43"/>
        <v>0.52121814591421356</v>
      </c>
      <c r="Z26" s="143">
        <f t="shared" si="43"/>
        <v>0.52121814591421356</v>
      </c>
      <c r="AA26" s="143">
        <f t="shared" si="43"/>
        <v>0.52121814591421345</v>
      </c>
      <c r="AB26" s="143"/>
      <c r="AC26" s="143"/>
      <c r="AD26" s="143"/>
      <c r="AE26" s="143"/>
      <c r="AF26" s="143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53"/>
      <c r="BH26" s="153"/>
      <c r="BI26" s="153"/>
      <c r="BJ26" s="153"/>
      <c r="BK26" s="153"/>
    </row>
    <row r="27" spans="1:97" x14ac:dyDescent="0.35">
      <c r="A27" s="144" t="s">
        <v>109</v>
      </c>
      <c r="B27" s="151">
        <f>B25</f>
        <v>10114.180690000001</v>
      </c>
      <c r="C27" s="153">
        <f t="shared" si="29"/>
        <v>12666.191207529162</v>
      </c>
      <c r="D27" s="153">
        <f t="shared" si="29"/>
        <v>15218.201725058323</v>
      </c>
      <c r="E27" s="153">
        <f t="shared" si="29"/>
        <v>17770.212242587484</v>
      </c>
      <c r="F27" s="153">
        <f t="shared" si="29"/>
        <v>20322.222760116645</v>
      </c>
      <c r="G27" s="145">
        <f>G25</f>
        <v>22874.233277645802</v>
      </c>
      <c r="H27" s="145">
        <f t="shared" ref="H27:P27" si="44">H25</f>
        <v>27148.598209754527</v>
      </c>
      <c r="I27" s="145">
        <f t="shared" si="44"/>
        <v>31397.746579647366</v>
      </c>
      <c r="J27" s="145">
        <f t="shared" si="44"/>
        <v>35620.419289157253</v>
      </c>
      <c r="K27" s="145">
        <f t="shared" si="44"/>
        <v>39815.271996635282</v>
      </c>
      <c r="L27" s="145">
        <f t="shared" si="44"/>
        <v>43980.867778804619</v>
      </c>
      <c r="M27" s="145">
        <f t="shared" si="44"/>
        <v>43438.98664335897</v>
      </c>
      <c r="N27" s="145">
        <f t="shared" si="44"/>
        <v>42897.105507913322</v>
      </c>
      <c r="O27" s="145">
        <f t="shared" si="44"/>
        <v>42355.224372467674</v>
      </c>
      <c r="P27" s="145">
        <f t="shared" si="44"/>
        <v>41813.343237022025</v>
      </c>
      <c r="Q27" s="145">
        <v>41239.886701635231</v>
      </c>
      <c r="R27" s="145">
        <f>R25+R26*(R42+R32)</f>
        <v>49379.490216382379</v>
      </c>
      <c r="S27" s="145">
        <f t="shared" ref="S27:AA27" si="45">S25+S26*(S42+S32)</f>
        <v>57487.518331188367</v>
      </c>
      <c r="T27" s="145">
        <f t="shared" si="45"/>
        <v>65595.546445994347</v>
      </c>
      <c r="U27" s="145">
        <f t="shared" si="45"/>
        <v>73703.574560800364</v>
      </c>
      <c r="V27" s="145">
        <f t="shared" si="45"/>
        <v>81811.602675606307</v>
      </c>
      <c r="W27" s="145">
        <f t="shared" si="45"/>
        <v>90311.550791657413</v>
      </c>
      <c r="X27" s="145">
        <f t="shared" si="45"/>
        <v>98811.498907708505</v>
      </c>
      <c r="Y27" s="145">
        <f t="shared" si="45"/>
        <v>107311.44702375961</v>
      </c>
      <c r="Z27" s="145">
        <f t="shared" si="45"/>
        <v>115811.39513981069</v>
      </c>
      <c r="AA27" s="145">
        <f t="shared" si="45"/>
        <v>124311.34325586172</v>
      </c>
      <c r="AB27" s="145">
        <f>AB$23*BG27</f>
        <v>123364.59034719819</v>
      </c>
      <c r="AC27" s="145">
        <f t="shared" ref="AC27:AF27" si="46">AC$23*BH27</f>
        <v>122417.83743853464</v>
      </c>
      <c r="AD27" s="145">
        <f t="shared" si="46"/>
        <v>121471.08452987111</v>
      </c>
      <c r="AE27" s="145">
        <f t="shared" si="46"/>
        <v>120524.33162120756</v>
      </c>
      <c r="AF27" s="145">
        <f t="shared" si="46"/>
        <v>119577.57871254407</v>
      </c>
      <c r="AG27" s="161">
        <f>B27/B$23</f>
        <v>3.001274344849188E-2</v>
      </c>
      <c r="AH27" s="161">
        <f t="shared" ref="AH27:BF27" si="47">C27/C$23</f>
        <v>3.6135546692555323E-2</v>
      </c>
      <c r="AI27" s="161">
        <f t="shared" si="47"/>
        <v>4.1803475238755834E-2</v>
      </c>
      <c r="AJ27" s="161">
        <f t="shared" si="47"/>
        <v>4.706540384728379E-2</v>
      </c>
      <c r="AK27" s="161">
        <f t="shared" si="47"/>
        <v>5.1963447478907646E-2</v>
      </c>
      <c r="AL27" s="161">
        <f t="shared" si="47"/>
        <v>5.6534090909090756E-2</v>
      </c>
      <c r="AM27" s="161">
        <f t="shared" si="47"/>
        <v>6.8356330465908291E-2</v>
      </c>
      <c r="AN27" s="161">
        <f t="shared" si="47"/>
        <v>8.056566130735815E-2</v>
      </c>
      <c r="AO27" s="161">
        <f t="shared" si="47"/>
        <v>9.3181411441865883E-2</v>
      </c>
      <c r="AP27" s="161">
        <f t="shared" si="47"/>
        <v>0.10622421742295547</v>
      </c>
      <c r="AQ27" s="161">
        <f t="shared" si="47"/>
        <v>0.11971613699475457</v>
      </c>
      <c r="AR27" s="161">
        <f t="shared" si="47"/>
        <v>0.11971613699475457</v>
      </c>
      <c r="AS27" s="161">
        <f t="shared" si="47"/>
        <v>0.11971613699475457</v>
      </c>
      <c r="AT27" s="161">
        <f t="shared" si="47"/>
        <v>0.11971613699475457</v>
      </c>
      <c r="AU27" s="161">
        <f t="shared" si="47"/>
        <v>0.11971613699475456</v>
      </c>
      <c r="AV27" s="161">
        <f t="shared" si="47"/>
        <v>0.11962454622688409</v>
      </c>
      <c r="AW27" s="161">
        <f t="shared" si="47"/>
        <v>0.14564459053870774</v>
      </c>
      <c r="AX27" s="161">
        <f t="shared" si="47"/>
        <v>0.17246030435373785</v>
      </c>
      <c r="AY27" s="161">
        <f t="shared" si="47"/>
        <v>0.20020961371021437</v>
      </c>
      <c r="AZ27" s="161">
        <f t="shared" si="47"/>
        <v>0.22894213738373767</v>
      </c>
      <c r="BA27" s="161">
        <f t="shared" si="47"/>
        <v>0.2587110737539558</v>
      </c>
      <c r="BB27" s="161">
        <f t="shared" si="47"/>
        <v>0.28997503821031129</v>
      </c>
      <c r="BC27" s="161">
        <f t="shared" si="47"/>
        <v>0.32221398365299719</v>
      </c>
      <c r="BD27" s="161">
        <f t="shared" si="47"/>
        <v>0.35547424033697611</v>
      </c>
      <c r="BE27" s="161">
        <f t="shared" si="47"/>
        <v>0.3898051211935834</v>
      </c>
      <c r="BF27" s="161">
        <f t="shared" si="47"/>
        <v>0.42525916578246276</v>
      </c>
      <c r="BG27" s="162">
        <v>0.42525916578246276</v>
      </c>
      <c r="BH27" s="162">
        <v>0.42525916578246276</v>
      </c>
      <c r="BI27" s="162">
        <v>0.42525916578246276</v>
      </c>
      <c r="BJ27" s="162">
        <v>0.42525916578246276</v>
      </c>
      <c r="BK27" s="162">
        <v>0.42525916578246276</v>
      </c>
      <c r="BN27" s="144" t="s">
        <v>109</v>
      </c>
      <c r="BO27">
        <f>AG27</f>
        <v>3.001274344849188E-2</v>
      </c>
      <c r="BP27">
        <f t="shared" ref="BP27:CN27" si="48">AH27</f>
        <v>3.6135546692555323E-2</v>
      </c>
      <c r="BQ27">
        <f t="shared" si="48"/>
        <v>4.1803475238755834E-2</v>
      </c>
      <c r="BR27">
        <f t="shared" si="48"/>
        <v>4.706540384728379E-2</v>
      </c>
      <c r="BS27">
        <f t="shared" si="48"/>
        <v>5.1963447478907646E-2</v>
      </c>
      <c r="BT27">
        <f t="shared" si="48"/>
        <v>5.6534090909090756E-2</v>
      </c>
      <c r="BU27">
        <f t="shared" si="48"/>
        <v>6.8356330465908291E-2</v>
      </c>
      <c r="BV27">
        <f t="shared" si="48"/>
        <v>8.056566130735815E-2</v>
      </c>
      <c r="BW27">
        <f t="shared" si="48"/>
        <v>9.3181411441865883E-2</v>
      </c>
      <c r="BX27">
        <f t="shared" si="48"/>
        <v>0.10622421742295547</v>
      </c>
      <c r="BY27">
        <f t="shared" si="48"/>
        <v>0.11971613699475457</v>
      </c>
      <c r="BZ27">
        <f t="shared" si="48"/>
        <v>0.11971613699475457</v>
      </c>
      <c r="CA27">
        <f t="shared" si="48"/>
        <v>0.11971613699475457</v>
      </c>
      <c r="CB27">
        <f t="shared" si="48"/>
        <v>0.11971613699475457</v>
      </c>
      <c r="CC27">
        <f t="shared" si="48"/>
        <v>0.11971613699475456</v>
      </c>
      <c r="CD27">
        <f t="shared" si="48"/>
        <v>0.11962454622688409</v>
      </c>
      <c r="CE27">
        <f t="shared" si="48"/>
        <v>0.14564459053870774</v>
      </c>
      <c r="CF27">
        <f t="shared" si="48"/>
        <v>0.17246030435373785</v>
      </c>
      <c r="CG27">
        <f t="shared" si="48"/>
        <v>0.20020961371021437</v>
      </c>
      <c r="CH27">
        <f t="shared" si="48"/>
        <v>0.22894213738373767</v>
      </c>
      <c r="CI27">
        <f t="shared" si="48"/>
        <v>0.2587110737539558</v>
      </c>
      <c r="CJ27">
        <f t="shared" si="48"/>
        <v>0.28997503821031129</v>
      </c>
      <c r="CK27">
        <f t="shared" si="48"/>
        <v>0.32221398365299719</v>
      </c>
      <c r="CL27">
        <f t="shared" si="48"/>
        <v>0.35547424033697611</v>
      </c>
      <c r="CM27">
        <f t="shared" si="48"/>
        <v>0.3898051211935834</v>
      </c>
      <c r="CN27">
        <f t="shared" si="48"/>
        <v>0.42525916578246276</v>
      </c>
      <c r="CO27">
        <f t="shared" ref="CO27" si="49">BG27</f>
        <v>0.42525916578246276</v>
      </c>
      <c r="CP27">
        <f t="shared" ref="CP27" si="50">BH27</f>
        <v>0.42525916578246276</v>
      </c>
      <c r="CQ27">
        <f t="shared" ref="CQ27" si="51">BI27</f>
        <v>0.42525916578246276</v>
      </c>
      <c r="CR27">
        <f t="shared" ref="CR27" si="52">BJ27</f>
        <v>0.42525916578246276</v>
      </c>
      <c r="CS27">
        <f t="shared" ref="CS27" si="53">BK27</f>
        <v>0.42525916578246276</v>
      </c>
    </row>
    <row r="28" spans="1:97" x14ac:dyDescent="0.35">
      <c r="A28" s="142"/>
      <c r="B28" s="129"/>
      <c r="C28" s="153"/>
      <c r="D28" s="153"/>
      <c r="E28" s="153"/>
      <c r="F28" s="153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53"/>
      <c r="BH28" s="153"/>
      <c r="BI28" s="153"/>
      <c r="BJ28" s="153"/>
      <c r="BK28" s="153"/>
      <c r="BN28" s="144" t="s">
        <v>111</v>
      </c>
      <c r="BO28">
        <f>AG37</f>
        <v>4.3647087577094491E-2</v>
      </c>
      <c r="BP28">
        <f t="shared" ref="BP28:CN28" si="54">AH37</f>
        <v>4.4916982880222653E-2</v>
      </c>
      <c r="BQ28">
        <f t="shared" si="54"/>
        <v>4.6092535246087876E-2</v>
      </c>
      <c r="BR28">
        <f t="shared" si="54"/>
        <v>4.718388150678051E-2</v>
      </c>
      <c r="BS28">
        <f t="shared" si="54"/>
        <v>4.8199756483384856E-2</v>
      </c>
      <c r="BT28">
        <f t="shared" si="54"/>
        <v>4.914772727272728E-2</v>
      </c>
      <c r="BU28">
        <f t="shared" si="54"/>
        <v>5.8657121413313341E-2</v>
      </c>
      <c r="BV28">
        <f t="shared" si="54"/>
        <v>6.8477878183311858E-2</v>
      </c>
      <c r="BW28">
        <f t="shared" si="54"/>
        <v>7.8625544353636057E-2</v>
      </c>
      <c r="BX28">
        <f t="shared" si="54"/>
        <v>8.9116719242902293E-2</v>
      </c>
      <c r="BY28">
        <f t="shared" si="54"/>
        <v>9.99691453255169E-2</v>
      </c>
      <c r="BZ28">
        <f t="shared" si="54"/>
        <v>9.9969145325516887E-2</v>
      </c>
      <c r="CA28">
        <f t="shared" si="54"/>
        <v>9.99691453255169E-2</v>
      </c>
      <c r="CB28">
        <f t="shared" si="54"/>
        <v>9.9969145325516887E-2</v>
      </c>
      <c r="CC28">
        <f t="shared" si="54"/>
        <v>9.9969145325516887E-2</v>
      </c>
      <c r="CD28">
        <f t="shared" si="54"/>
        <v>9.989266231317144E-2</v>
      </c>
      <c r="CE28">
        <f t="shared" si="54"/>
        <v>0.12162074055294174</v>
      </c>
      <c r="CF28">
        <f t="shared" si="54"/>
        <v>0.14401324384178135</v>
      </c>
      <c r="CG28">
        <f t="shared" si="54"/>
        <v>0.16718534753121025</v>
      </c>
      <c r="CH28">
        <f t="shared" si="54"/>
        <v>0.1911784858565235</v>
      </c>
      <c r="CI28">
        <f t="shared" si="54"/>
        <v>0.21603708220691192</v>
      </c>
      <c r="CJ28">
        <f t="shared" si="54"/>
        <v>0.2421441040725284</v>
      </c>
      <c r="CK28">
        <f t="shared" si="54"/>
        <v>0.26906528531848267</v>
      </c>
      <c r="CL28">
        <f t="shared" si="54"/>
        <v>0.29683931409582592</v>
      </c>
      <c r="CM28">
        <f t="shared" si="54"/>
        <v>0.32550736924412693</v>
      </c>
      <c r="CN28">
        <f t="shared" si="54"/>
        <v>0.35511332400391288</v>
      </c>
      <c r="CO28">
        <f t="shared" ref="CO28" si="55">BG37</f>
        <v>0.35511332400391288</v>
      </c>
      <c r="CP28">
        <f t="shared" ref="CP28" si="56">BH37</f>
        <v>0.35511332400391288</v>
      </c>
      <c r="CQ28">
        <f t="shared" ref="CQ28" si="57">BI37</f>
        <v>0.35511332400391288</v>
      </c>
      <c r="CR28">
        <f t="shared" ref="CR28" si="58">BJ37</f>
        <v>0.35511332400391288</v>
      </c>
      <c r="CS28">
        <f t="shared" ref="CS28" si="59">BK37</f>
        <v>0.35511332400391288</v>
      </c>
    </row>
    <row r="29" spans="1:97" x14ac:dyDescent="0.35">
      <c r="A29" s="141" t="s">
        <v>15</v>
      </c>
      <c r="B29" s="132">
        <f>'Initial demand info'!F26</f>
        <v>11248.163840000001</v>
      </c>
      <c r="C29" s="153">
        <f t="shared" si="29"/>
        <v>12125.059439597833</v>
      </c>
      <c r="D29" s="153">
        <f t="shared" si="29"/>
        <v>13001.955039195665</v>
      </c>
      <c r="E29" s="153">
        <f t="shared" si="29"/>
        <v>13878.850638793498</v>
      </c>
      <c r="F29" s="153">
        <f t="shared" si="29"/>
        <v>14755.74623839133</v>
      </c>
      <c r="G29" s="133">
        <f>G$23*AL29</f>
        <v>15632.641837989164</v>
      </c>
      <c r="H29" s="133">
        <f t="shared" ref="H29:P29" si="60">H$23*AM29</f>
        <v>19306.688929572119</v>
      </c>
      <c r="I29" s="133">
        <f t="shared" si="60"/>
        <v>22959.4592614465</v>
      </c>
      <c r="J29" s="133">
        <f t="shared" si="60"/>
        <v>26589.890455286459</v>
      </c>
      <c r="K29" s="133">
        <f t="shared" si="60"/>
        <v>30196.848207613792</v>
      </c>
      <c r="L29" s="133">
        <f t="shared" si="60"/>
        <v>33779.120098154104</v>
      </c>
      <c r="M29" s="133">
        <f t="shared" si="60"/>
        <v>33362.933040518008</v>
      </c>
      <c r="N29" s="133">
        <f t="shared" si="60"/>
        <v>32946.745982881919</v>
      </c>
      <c r="O29" s="133">
        <f t="shared" si="60"/>
        <v>32530.55892524583</v>
      </c>
      <c r="P29" s="133">
        <f t="shared" si="60"/>
        <v>32114.371867609741</v>
      </c>
      <c r="Q29" s="133">
        <f t="shared" ref="Q29" si="61">Q$23*AV29</f>
        <v>31698.18480997366</v>
      </c>
      <c r="R29" s="133">
        <f t="shared" ref="R29" si="62">R$23*AW29</f>
        <v>31173.780719127117</v>
      </c>
      <c r="S29" s="133">
        <f t="shared" ref="S29" si="63">S$23*AX29</f>
        <v>30649.376628280574</v>
      </c>
      <c r="T29" s="133">
        <f t="shared" ref="T29" si="64">T$23*AY29</f>
        <v>30124.972537434031</v>
      </c>
      <c r="U29" s="133">
        <f t="shared" ref="U29" si="65">U$23*AZ29</f>
        <v>29600.568446587487</v>
      </c>
      <c r="V29" s="133">
        <f t="shared" ref="V29" si="66">V$23*BA29</f>
        <v>29076.16435574093</v>
      </c>
      <c r="W29" s="133">
        <f t="shared" ref="W29" si="67">W$23*BB29</f>
        <v>28636.498805069205</v>
      </c>
      <c r="X29" s="133">
        <f t="shared" ref="X29" si="68">X$23*BC29</f>
        <v>28196.833254397476</v>
      </c>
      <c r="Y29" s="133">
        <f t="shared" ref="Y29" si="69">Y$23*BD29</f>
        <v>27757.167703725743</v>
      </c>
      <c r="Z29" s="133">
        <f t="shared" ref="Z29" si="70">Z$23*BE29</f>
        <v>27317.502153054011</v>
      </c>
      <c r="AA29" s="133">
        <f t="shared" ref="AA29:AF29" si="71">AA$23*BF29</f>
        <v>26877.836602382275</v>
      </c>
      <c r="AB29" s="133">
        <f t="shared" si="71"/>
        <v>26673.135492126279</v>
      </c>
      <c r="AC29" s="133">
        <f t="shared" si="71"/>
        <v>26468.434381870287</v>
      </c>
      <c r="AD29" s="133">
        <f t="shared" si="71"/>
        <v>26263.733271614292</v>
      </c>
      <c r="AE29" s="133">
        <f t="shared" si="71"/>
        <v>26059.0321613583</v>
      </c>
      <c r="AF29" s="133">
        <f t="shared" si="71"/>
        <v>25854.331051102319</v>
      </c>
      <c r="AG29" s="161">
        <f>B29/B$23</f>
        <v>3.3377716489710378E-2</v>
      </c>
      <c r="AH29" s="161">
        <f t="shared" ref="AH29:AK29" si="72">C29/C$23</f>
        <v>3.459174461768344E-2</v>
      </c>
      <c r="AI29" s="161">
        <f t="shared" si="72"/>
        <v>3.5715580287088718E-2</v>
      </c>
      <c r="AJ29" s="161">
        <f t="shared" si="72"/>
        <v>3.6758914375005544E-2</v>
      </c>
      <c r="AK29" s="161">
        <f t="shared" si="72"/>
        <v>3.7730097426918269E-2</v>
      </c>
      <c r="AL29" s="133">
        <v>3.8636363636363712E-2</v>
      </c>
      <c r="AM29" s="133">
        <v>4.8611512037411299E-2</v>
      </c>
      <c r="AN29" s="133">
        <v>5.8913273090012971E-2</v>
      </c>
      <c r="AO29" s="133">
        <v>6.9557955019984546E-2</v>
      </c>
      <c r="AP29" s="133">
        <v>8.0562970152875571E-2</v>
      </c>
      <c r="AQ29" s="133">
        <v>9.1946929959888929E-2</v>
      </c>
      <c r="AR29" s="133">
        <v>9.1946929959888929E-2</v>
      </c>
      <c r="AS29" s="133">
        <v>9.1946929959888929E-2</v>
      </c>
      <c r="AT29" s="133">
        <v>9.1946929959888929E-2</v>
      </c>
      <c r="AU29" s="133">
        <v>9.1946929959888929E-2</v>
      </c>
      <c r="AV29" s="133">
        <v>9.1946929959888929E-2</v>
      </c>
      <c r="AW29" s="133">
        <v>9.1946929959888929E-2</v>
      </c>
      <c r="AX29" s="133">
        <v>9.1946929959888929E-2</v>
      </c>
      <c r="AY29" s="133">
        <v>9.1946929959888929E-2</v>
      </c>
      <c r="AZ29" s="133">
        <v>9.1946929959888929E-2</v>
      </c>
      <c r="BA29" s="133">
        <v>9.1946929959888901E-2</v>
      </c>
      <c r="BB29" s="133">
        <v>9.1946929959888929E-2</v>
      </c>
      <c r="BC29" s="133">
        <v>9.1946929959888929E-2</v>
      </c>
      <c r="BD29" s="133">
        <v>9.1946929959888929E-2</v>
      </c>
      <c r="BE29" s="133">
        <v>9.1946929959888929E-2</v>
      </c>
      <c r="BF29" s="133">
        <v>9.1946929959888929E-2</v>
      </c>
      <c r="BG29" s="60">
        <v>9.1946929959888929E-2</v>
      </c>
      <c r="BH29" s="60">
        <v>9.1946929959888929E-2</v>
      </c>
      <c r="BI29" s="60">
        <v>9.1946929959888929E-2</v>
      </c>
      <c r="BJ29" s="60">
        <v>9.1946929959888929E-2</v>
      </c>
      <c r="BK29" s="60">
        <v>9.1946929959888929E-2</v>
      </c>
      <c r="BN29" s="144" t="s">
        <v>114</v>
      </c>
      <c r="BO29">
        <f>AG43</f>
        <v>0.8929624524847033</v>
      </c>
      <c r="BP29">
        <f t="shared" ref="BP29:CN29" si="73">AH43</f>
        <v>0.88339816820283423</v>
      </c>
      <c r="BQ29">
        <f t="shared" si="73"/>
        <v>0.87454443279042438</v>
      </c>
      <c r="BR29">
        <f t="shared" si="73"/>
        <v>0.86632490015532682</v>
      </c>
      <c r="BS29">
        <f t="shared" si="73"/>
        <v>0.85867378352614709</v>
      </c>
      <c r="BT29">
        <f t="shared" si="73"/>
        <v>0.85153409090909082</v>
      </c>
      <c r="BU29">
        <f t="shared" si="73"/>
        <v>0.81906783672998074</v>
      </c>
      <c r="BV29">
        <f t="shared" si="73"/>
        <v>0.7855712944490082</v>
      </c>
      <c r="BW29">
        <f t="shared" si="73"/>
        <v>0.75099302034242077</v>
      </c>
      <c r="BX29">
        <f t="shared" si="73"/>
        <v>0.71527808784275648</v>
      </c>
      <c r="BY29">
        <f t="shared" si="73"/>
        <v>0.67836778771983952</v>
      </c>
      <c r="BZ29">
        <f t="shared" si="73"/>
        <v>0.67836778771983952</v>
      </c>
      <c r="CA29">
        <f t="shared" si="73"/>
        <v>0.67836778771983952</v>
      </c>
      <c r="CB29">
        <f t="shared" si="73"/>
        <v>0.67836778771983952</v>
      </c>
      <c r="CC29">
        <f t="shared" si="73"/>
        <v>0.67836778771983952</v>
      </c>
      <c r="CD29">
        <f t="shared" si="73"/>
        <v>0.67784879146640553</v>
      </c>
      <c r="CE29">
        <f t="shared" si="73"/>
        <v>0.6345597188213935</v>
      </c>
      <c r="CF29">
        <f t="shared" si="73"/>
        <v>0.5892525570819378</v>
      </c>
      <c r="CG29">
        <f t="shared" si="73"/>
        <v>0.54236801558346037</v>
      </c>
      <c r="CH29">
        <f t="shared" si="73"/>
        <v>0.49382225967934529</v>
      </c>
      <c r="CI29">
        <f t="shared" si="73"/>
        <v>0.44352540671319102</v>
      </c>
      <c r="CJ29">
        <f t="shared" si="73"/>
        <v>0.39070259155297116</v>
      </c>
      <c r="CK29">
        <f t="shared" si="73"/>
        <v>0.33623247281749413</v>
      </c>
      <c r="CL29">
        <f t="shared" si="73"/>
        <v>0.28003677206265476</v>
      </c>
      <c r="CM29">
        <f t="shared" si="73"/>
        <v>0.22203217138868439</v>
      </c>
      <c r="CN29">
        <f t="shared" si="73"/>
        <v>0.16212990126504168</v>
      </c>
      <c r="CO29">
        <f t="shared" ref="CO29" si="74">BG43</f>
        <v>0.16212990126504168</v>
      </c>
      <c r="CP29">
        <f t="shared" ref="CP29" si="75">BH43</f>
        <v>0.16212990126504168</v>
      </c>
      <c r="CQ29">
        <f t="shared" ref="CQ29" si="76">BI43</f>
        <v>0.16212990126504168</v>
      </c>
      <c r="CR29">
        <f t="shared" ref="CR29" si="77">BJ43</f>
        <v>0.16212990126504168</v>
      </c>
      <c r="CS29">
        <f t="shared" ref="CS29" si="78">BK43</f>
        <v>0.16212990126504168</v>
      </c>
    </row>
    <row r="30" spans="1:97" x14ac:dyDescent="0.35">
      <c r="A30" s="142"/>
      <c r="B30" s="129"/>
      <c r="C30" s="153"/>
      <c r="D30" s="153"/>
      <c r="E30" s="153"/>
      <c r="F30" s="153"/>
      <c r="G30" s="128"/>
      <c r="H30" s="128"/>
      <c r="I30" s="128"/>
      <c r="J30" s="128"/>
      <c r="K30" s="128"/>
      <c r="L30" s="128"/>
      <c r="M30" s="128"/>
      <c r="N30" s="128"/>
      <c r="O30" s="128"/>
      <c r="P30" s="128" t="s">
        <v>115</v>
      </c>
      <c r="Q30" s="128">
        <f>Q29*0.761</f>
        <v>24122.318640389956</v>
      </c>
      <c r="R30" s="128">
        <f>R29*0.761</f>
        <v>23723.247127255738</v>
      </c>
      <c r="S30" s="128">
        <f t="shared" ref="S30:AA30" si="79">S29*0.761</f>
        <v>23324.175614121516</v>
      </c>
      <c r="T30" s="128">
        <f t="shared" si="79"/>
        <v>22925.104100987297</v>
      </c>
      <c r="U30" s="128">
        <f t="shared" si="79"/>
        <v>22526.032587853078</v>
      </c>
      <c r="V30" s="128">
        <f t="shared" si="79"/>
        <v>22126.961074718849</v>
      </c>
      <c r="W30" s="128">
        <f t="shared" si="79"/>
        <v>21792.375590657666</v>
      </c>
      <c r="X30" s="128">
        <f t="shared" si="79"/>
        <v>21457.79010659648</v>
      </c>
      <c r="Y30" s="128">
        <f t="shared" si="79"/>
        <v>21123.20462253529</v>
      </c>
      <c r="Z30" s="128">
        <f t="shared" si="79"/>
        <v>20788.619138474103</v>
      </c>
      <c r="AA30" s="128">
        <f t="shared" si="79"/>
        <v>20454.03365441291</v>
      </c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53"/>
      <c r="BH30" s="153"/>
      <c r="BI30" s="153"/>
      <c r="BJ30" s="153"/>
      <c r="BK30" s="153"/>
      <c r="BN30" s="144" t="s">
        <v>110</v>
      </c>
      <c r="BO30">
        <f>AG33</f>
        <v>3.3377716489710378E-2</v>
      </c>
      <c r="BP30">
        <f t="shared" ref="BP30:CN30" si="80">AH33</f>
        <v>3.459174461768344E-2</v>
      </c>
      <c r="BQ30">
        <f t="shared" si="80"/>
        <v>3.5715580287088718E-2</v>
      </c>
      <c r="BR30">
        <f t="shared" si="80"/>
        <v>3.6758914375005544E-2</v>
      </c>
      <c r="BS30">
        <f t="shared" si="80"/>
        <v>3.7730097426918269E-2</v>
      </c>
      <c r="BT30">
        <f t="shared" si="80"/>
        <v>3.8636363636363712E-2</v>
      </c>
      <c r="BU30">
        <f t="shared" si="80"/>
        <v>4.8611512037411299E-2</v>
      </c>
      <c r="BV30">
        <f t="shared" si="80"/>
        <v>5.8913273090012971E-2</v>
      </c>
      <c r="BW30">
        <f t="shared" si="80"/>
        <v>6.9557955019984546E-2</v>
      </c>
      <c r="BX30">
        <f t="shared" si="80"/>
        <v>8.0562970152875571E-2</v>
      </c>
      <c r="BY30">
        <f t="shared" si="80"/>
        <v>9.1946929959888929E-2</v>
      </c>
      <c r="BZ30">
        <f t="shared" si="80"/>
        <v>9.1946929959888915E-2</v>
      </c>
      <c r="CA30">
        <f t="shared" si="80"/>
        <v>9.1946929959888929E-2</v>
      </c>
      <c r="CB30">
        <f t="shared" si="80"/>
        <v>9.1946929959888929E-2</v>
      </c>
      <c r="CC30">
        <f t="shared" si="80"/>
        <v>9.1946929959888929E-2</v>
      </c>
      <c r="CD30">
        <f t="shared" si="80"/>
        <v>9.1876584473225512E-2</v>
      </c>
      <c r="CE30">
        <f t="shared" si="80"/>
        <v>8.6009122305102478E-2</v>
      </c>
      <c r="CF30">
        <f t="shared" si="80"/>
        <v>7.9868125485159799E-2</v>
      </c>
      <c r="CG30">
        <f t="shared" si="80"/>
        <v>7.3513328380403448E-2</v>
      </c>
      <c r="CH30">
        <f t="shared" si="80"/>
        <v>6.6933367924190024E-2</v>
      </c>
      <c r="CI30">
        <f t="shared" si="80"/>
        <v>6.0116061294070718E-2</v>
      </c>
      <c r="CJ30">
        <f t="shared" si="80"/>
        <v>5.2956382173477284E-2</v>
      </c>
      <c r="CK30">
        <f t="shared" si="80"/>
        <v>4.5573425195062869E-2</v>
      </c>
      <c r="CL30">
        <f t="shared" si="80"/>
        <v>3.7956580387735389E-2</v>
      </c>
      <c r="CM30">
        <f t="shared" si="80"/>
        <v>3.0094554725450379E-2</v>
      </c>
      <c r="CN30">
        <f t="shared" si="80"/>
        <v>2.197531626041346E-2</v>
      </c>
      <c r="CO30">
        <f t="shared" ref="CO30" si="81">BG33</f>
        <v>2.197531626041346E-2</v>
      </c>
      <c r="CP30">
        <f t="shared" ref="CP30" si="82">BH33</f>
        <v>2.197531626041346E-2</v>
      </c>
      <c r="CQ30">
        <f t="shared" ref="CQ30" si="83">BI33</f>
        <v>2.197531626041346E-2</v>
      </c>
      <c r="CR30">
        <f t="shared" ref="CR30" si="84">BJ33</f>
        <v>2.197531626041346E-2</v>
      </c>
      <c r="CS30">
        <f t="shared" ref="CS30" si="85">BK33</f>
        <v>2.197531626041346E-2</v>
      </c>
    </row>
    <row r="31" spans="1:97" ht="15" thickBot="1" x14ac:dyDescent="0.4">
      <c r="A31" s="141"/>
      <c r="B31" s="134"/>
      <c r="C31" s="153"/>
      <c r="D31" s="153"/>
      <c r="E31" s="153"/>
      <c r="F31" s="153"/>
      <c r="G31" s="133"/>
      <c r="H31" s="133"/>
      <c r="I31" s="133"/>
      <c r="J31" s="133"/>
      <c r="K31" s="133"/>
      <c r="L31" s="133"/>
      <c r="M31" s="133"/>
      <c r="N31" s="133"/>
      <c r="O31" s="133"/>
      <c r="P31" s="133" t="s">
        <v>116</v>
      </c>
      <c r="Q31" s="133">
        <f>Q29*0.761</f>
        <v>24122.318640389956</v>
      </c>
      <c r="R31" s="133">
        <f>Q31+($AA$31-$Q$31)/10</f>
        <v>21710.08677635096</v>
      </c>
      <c r="S31" s="133">
        <f t="shared" ref="S31:Z31" si="86">R31+($AA$31-$Q$31)/10</f>
        <v>19297.854912311963</v>
      </c>
      <c r="T31" s="133">
        <f t="shared" si="86"/>
        <v>16885.623048272966</v>
      </c>
      <c r="U31" s="133">
        <f t="shared" si="86"/>
        <v>14473.391184233969</v>
      </c>
      <c r="V31" s="133">
        <f t="shared" si="86"/>
        <v>12061.159320194973</v>
      </c>
      <c r="W31" s="133">
        <f t="shared" si="86"/>
        <v>9648.927456155976</v>
      </c>
      <c r="X31" s="133">
        <f t="shared" si="86"/>
        <v>7236.6955921169802</v>
      </c>
      <c r="Y31" s="133">
        <f t="shared" si="86"/>
        <v>4824.4637280779843</v>
      </c>
      <c r="Z31" s="133">
        <f t="shared" si="86"/>
        <v>2412.2318640389885</v>
      </c>
      <c r="AA31" s="133">
        <v>0</v>
      </c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60"/>
      <c r="BH31" s="60"/>
      <c r="BI31" s="60"/>
      <c r="BJ31" s="60"/>
      <c r="BK31" s="60"/>
      <c r="BN31" s="155" t="s">
        <v>112</v>
      </c>
      <c r="BO31">
        <f>AG47</f>
        <v>0</v>
      </c>
      <c r="BP31">
        <f t="shared" ref="BP31:CN31" si="87">AH47</f>
        <v>1.154316019040833E-3</v>
      </c>
      <c r="BQ31">
        <f t="shared" si="87"/>
        <v>2.2228757056519674E-3</v>
      </c>
      <c r="BR31">
        <f t="shared" si="87"/>
        <v>3.2148932900422926E-3</v>
      </c>
      <c r="BS31">
        <f t="shared" si="87"/>
        <v>4.1383085951847967E-3</v>
      </c>
      <c r="BT31">
        <f t="shared" si="87"/>
        <v>5.0000000000000001E-3</v>
      </c>
      <c r="BU31">
        <f t="shared" si="87"/>
        <v>6.0000000000000001E-3</v>
      </c>
      <c r="BV31">
        <f t="shared" si="87"/>
        <v>7.000000000000001E-3</v>
      </c>
      <c r="BW31">
        <f t="shared" si="87"/>
        <v>8.0000000000000002E-3</v>
      </c>
      <c r="BX31">
        <f t="shared" si="87"/>
        <v>9.0000000000000011E-3</v>
      </c>
      <c r="BY31">
        <f t="shared" si="87"/>
        <v>1.0000000000000002E-2</v>
      </c>
      <c r="BZ31">
        <f t="shared" si="87"/>
        <v>1.0000000000000002E-2</v>
      </c>
      <c r="CA31">
        <f t="shared" si="87"/>
        <v>1.0000000000000002E-2</v>
      </c>
      <c r="CB31">
        <f t="shared" si="87"/>
        <v>1.0000000000000002E-2</v>
      </c>
      <c r="CC31">
        <f t="shared" si="87"/>
        <v>1.0000000000000002E-2</v>
      </c>
      <c r="CD31">
        <f t="shared" si="87"/>
        <v>9.9923493381786563E-3</v>
      </c>
      <c r="CE31">
        <f t="shared" si="87"/>
        <v>1.2165827781854445E-2</v>
      </c>
      <c r="CF31">
        <f t="shared" si="87"/>
        <v>1.4405769237383121E-2</v>
      </c>
      <c r="CG31">
        <f t="shared" si="87"/>
        <v>1.6723694794711481E-2</v>
      </c>
      <c r="CH31">
        <f t="shared" si="87"/>
        <v>1.9123749156203473E-2</v>
      </c>
      <c r="CI31">
        <f t="shared" si="87"/>
        <v>2.1610376031870413E-2</v>
      </c>
      <c r="CJ31">
        <f t="shared" si="87"/>
        <v>2.4221883990711856E-2</v>
      </c>
      <c r="CK31">
        <f t="shared" si="87"/>
        <v>2.6914833015963018E-2</v>
      </c>
      <c r="CL31">
        <f t="shared" si="87"/>
        <v>2.9693093116807762E-2</v>
      </c>
      <c r="CM31">
        <f t="shared" si="87"/>
        <v>3.2560783448154787E-2</v>
      </c>
      <c r="CN31">
        <f t="shared" si="87"/>
        <v>3.5522292688169171E-2</v>
      </c>
      <c r="CO31">
        <f t="shared" ref="CO31" si="88">BG47</f>
        <v>3.5522292688169171E-2</v>
      </c>
      <c r="CP31">
        <f t="shared" ref="CP31" si="89">BH47</f>
        <v>3.5522292688169171E-2</v>
      </c>
      <c r="CQ31">
        <f t="shared" ref="CQ31" si="90">BI47</f>
        <v>3.5522292688169171E-2</v>
      </c>
      <c r="CR31">
        <f t="shared" ref="CR31" si="91">BJ47</f>
        <v>3.5522292688169171E-2</v>
      </c>
      <c r="CS31">
        <f t="shared" ref="CS31" si="92">BK47</f>
        <v>3.5522292688169171E-2</v>
      </c>
    </row>
    <row r="32" spans="1:97" x14ac:dyDescent="0.35">
      <c r="A32" s="142"/>
      <c r="B32" s="129"/>
      <c r="C32" s="153"/>
      <c r="D32" s="153"/>
      <c r="E32" s="153"/>
      <c r="F32" s="153"/>
      <c r="G32" s="128"/>
      <c r="H32" s="128"/>
      <c r="I32" s="128"/>
      <c r="J32" s="128"/>
      <c r="K32" s="128"/>
      <c r="L32" s="128"/>
      <c r="M32" s="128"/>
      <c r="N32" s="128"/>
      <c r="O32" s="128"/>
      <c r="P32" s="128" t="s">
        <v>108</v>
      </c>
      <c r="Q32" s="128">
        <f>Q30-Q31</f>
        <v>0</v>
      </c>
      <c r="R32" s="128">
        <f>R30-R31</f>
        <v>2013.1603509047782</v>
      </c>
      <c r="S32" s="128">
        <f t="shared" ref="S32:AA32" si="93">S30-S31</f>
        <v>4026.3207018095527</v>
      </c>
      <c r="T32" s="128">
        <f t="shared" si="93"/>
        <v>6039.4810527143309</v>
      </c>
      <c r="U32" s="128">
        <f t="shared" si="93"/>
        <v>8052.641403619109</v>
      </c>
      <c r="V32" s="128">
        <f t="shared" si="93"/>
        <v>10065.801754523876</v>
      </c>
      <c r="W32" s="128">
        <f t="shared" si="93"/>
        <v>12143.44813450169</v>
      </c>
      <c r="X32" s="128">
        <f t="shared" si="93"/>
        <v>14221.094514479501</v>
      </c>
      <c r="Y32" s="128">
        <f t="shared" si="93"/>
        <v>16298.740894457305</v>
      </c>
      <c r="Z32" s="128">
        <f t="shared" si="93"/>
        <v>18376.387274435114</v>
      </c>
      <c r="AA32" s="128">
        <f t="shared" si="93"/>
        <v>20454.03365441291</v>
      </c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53"/>
      <c r="BH32" s="153"/>
      <c r="BI32" s="153"/>
      <c r="BJ32" s="153"/>
      <c r="BK32" s="153"/>
    </row>
    <row r="33" spans="1:97" x14ac:dyDescent="0.35">
      <c r="A33" s="144" t="s">
        <v>110</v>
      </c>
      <c r="B33" s="151">
        <f>B29</f>
        <v>11248.163840000001</v>
      </c>
      <c r="C33" s="153">
        <f t="shared" si="29"/>
        <v>12125.059439597833</v>
      </c>
      <c r="D33" s="153">
        <f t="shared" si="29"/>
        <v>13001.955039195665</v>
      </c>
      <c r="E33" s="153">
        <f t="shared" si="29"/>
        <v>13878.850638793498</v>
      </c>
      <c r="F33" s="153">
        <f t="shared" si="29"/>
        <v>14755.74623839133</v>
      </c>
      <c r="G33" s="145">
        <f>G29</f>
        <v>15632.641837989164</v>
      </c>
      <c r="H33" s="145">
        <f t="shared" ref="H33:P33" si="94">H29</f>
        <v>19306.688929572119</v>
      </c>
      <c r="I33" s="145">
        <f t="shared" si="94"/>
        <v>22959.4592614465</v>
      </c>
      <c r="J33" s="145">
        <f t="shared" si="94"/>
        <v>26589.890455286459</v>
      </c>
      <c r="K33" s="145">
        <f t="shared" si="94"/>
        <v>30196.848207613792</v>
      </c>
      <c r="L33" s="145">
        <f t="shared" si="94"/>
        <v>33779.120098154104</v>
      </c>
      <c r="M33" s="145">
        <f t="shared" si="94"/>
        <v>33362.933040518008</v>
      </c>
      <c r="N33" s="145">
        <f t="shared" si="94"/>
        <v>32946.745982881919</v>
      </c>
      <c r="O33" s="145">
        <f t="shared" si="94"/>
        <v>32530.55892524583</v>
      </c>
      <c r="P33" s="145">
        <f t="shared" si="94"/>
        <v>32114.371867609741</v>
      </c>
      <c r="Q33" s="145">
        <v>31673.933600740496</v>
      </c>
      <c r="R33" s="145">
        <f>R29-R32</f>
        <v>29160.620368222339</v>
      </c>
      <c r="S33" s="145">
        <f t="shared" ref="S33:AA33" si="95">S29-S32</f>
        <v>26623.055926471021</v>
      </c>
      <c r="T33" s="145">
        <f t="shared" si="95"/>
        <v>24085.4914847197</v>
      </c>
      <c r="U33" s="145">
        <f t="shared" si="95"/>
        <v>21547.927042968378</v>
      </c>
      <c r="V33" s="145">
        <f t="shared" si="95"/>
        <v>19010.362601217053</v>
      </c>
      <c r="W33" s="145">
        <f t="shared" si="95"/>
        <v>16493.050670567514</v>
      </c>
      <c r="X33" s="145">
        <f t="shared" si="95"/>
        <v>13975.738739917975</v>
      </c>
      <c r="Y33" s="145">
        <f t="shared" si="95"/>
        <v>11458.426809268438</v>
      </c>
      <c r="Z33" s="145">
        <f t="shared" si="95"/>
        <v>8941.1148786188969</v>
      </c>
      <c r="AA33" s="145">
        <f t="shared" si="95"/>
        <v>6423.8029479693651</v>
      </c>
      <c r="AB33" s="145">
        <f t="shared" ref="AB33:AF33" si="96">AB$23*BG33</f>
        <v>6374.8793826181827</v>
      </c>
      <c r="AC33" s="145">
        <f t="shared" si="96"/>
        <v>6325.9558172670004</v>
      </c>
      <c r="AD33" s="145">
        <f t="shared" si="96"/>
        <v>6277.0322519158181</v>
      </c>
      <c r="AE33" s="145">
        <f t="shared" si="96"/>
        <v>6228.1086865646357</v>
      </c>
      <c r="AF33" s="145">
        <f t="shared" si="96"/>
        <v>6179.1851212134552</v>
      </c>
      <c r="AG33" s="161">
        <f>B33/B$23</f>
        <v>3.3377716489710378E-2</v>
      </c>
      <c r="AH33" s="161">
        <f t="shared" ref="AH33:BF33" si="97">C33/C$23</f>
        <v>3.459174461768344E-2</v>
      </c>
      <c r="AI33" s="161">
        <f t="shared" si="97"/>
        <v>3.5715580287088718E-2</v>
      </c>
      <c r="AJ33" s="161">
        <f t="shared" si="97"/>
        <v>3.6758914375005544E-2</v>
      </c>
      <c r="AK33" s="161">
        <f t="shared" si="97"/>
        <v>3.7730097426918269E-2</v>
      </c>
      <c r="AL33" s="161">
        <f t="shared" si="97"/>
        <v>3.8636363636363712E-2</v>
      </c>
      <c r="AM33" s="161">
        <f t="shared" si="97"/>
        <v>4.8611512037411299E-2</v>
      </c>
      <c r="AN33" s="161">
        <f t="shared" si="97"/>
        <v>5.8913273090012971E-2</v>
      </c>
      <c r="AO33" s="161">
        <f t="shared" si="97"/>
        <v>6.9557955019984546E-2</v>
      </c>
      <c r="AP33" s="161">
        <f t="shared" si="97"/>
        <v>8.0562970152875571E-2</v>
      </c>
      <c r="AQ33" s="161">
        <f t="shared" si="97"/>
        <v>9.1946929959888929E-2</v>
      </c>
      <c r="AR33" s="161">
        <f t="shared" si="97"/>
        <v>9.1946929959888915E-2</v>
      </c>
      <c r="AS33" s="161">
        <f t="shared" si="97"/>
        <v>9.1946929959888929E-2</v>
      </c>
      <c r="AT33" s="161">
        <f t="shared" si="97"/>
        <v>9.1946929959888929E-2</v>
      </c>
      <c r="AU33" s="161">
        <f t="shared" si="97"/>
        <v>9.1946929959888929E-2</v>
      </c>
      <c r="AV33" s="161">
        <f t="shared" si="97"/>
        <v>9.1876584473225512E-2</v>
      </c>
      <c r="AW33" s="161">
        <f t="shared" si="97"/>
        <v>8.6009122305102478E-2</v>
      </c>
      <c r="AX33" s="161">
        <f t="shared" si="97"/>
        <v>7.9868125485159799E-2</v>
      </c>
      <c r="AY33" s="161">
        <f t="shared" si="97"/>
        <v>7.3513328380403448E-2</v>
      </c>
      <c r="AZ33" s="161">
        <f t="shared" si="97"/>
        <v>6.6933367924190024E-2</v>
      </c>
      <c r="BA33" s="161">
        <f t="shared" si="97"/>
        <v>6.0116061294070718E-2</v>
      </c>
      <c r="BB33" s="161">
        <f t="shared" si="97"/>
        <v>5.2956382173477284E-2</v>
      </c>
      <c r="BC33" s="161">
        <f t="shared" si="97"/>
        <v>4.5573425195062869E-2</v>
      </c>
      <c r="BD33" s="161">
        <f t="shared" si="97"/>
        <v>3.7956580387735389E-2</v>
      </c>
      <c r="BE33" s="161">
        <f t="shared" si="97"/>
        <v>3.0094554725450379E-2</v>
      </c>
      <c r="BF33" s="161">
        <f t="shared" si="97"/>
        <v>2.197531626041346E-2</v>
      </c>
      <c r="BG33" s="162">
        <v>2.197531626041346E-2</v>
      </c>
      <c r="BH33" s="162">
        <v>2.197531626041346E-2</v>
      </c>
      <c r="BI33" s="162">
        <v>2.197531626041346E-2</v>
      </c>
      <c r="BJ33" s="162">
        <v>2.197531626041346E-2</v>
      </c>
      <c r="BK33" s="162">
        <v>2.197531626041346E-2</v>
      </c>
      <c r="BN33" t="s">
        <v>109</v>
      </c>
      <c r="BO33">
        <v>3.001274344849188E-2</v>
      </c>
      <c r="BP33">
        <v>3.6135546692555323E-2</v>
      </c>
      <c r="BQ33">
        <v>4.1803475238755834E-2</v>
      </c>
      <c r="BR33">
        <v>4.706540384728379E-2</v>
      </c>
      <c r="BS33">
        <v>5.1963447478907646E-2</v>
      </c>
      <c r="BT33">
        <v>5.6534090909090756E-2</v>
      </c>
      <c r="BU33">
        <v>6.8356330465908291E-2</v>
      </c>
      <c r="BV33">
        <v>8.056566130735815E-2</v>
      </c>
      <c r="BW33">
        <v>9.3181411441865883E-2</v>
      </c>
      <c r="BX33">
        <v>0.10622421742295547</v>
      </c>
      <c r="BY33">
        <v>0.11971613699475457</v>
      </c>
      <c r="BZ33">
        <v>0.11971613699475457</v>
      </c>
      <c r="CA33">
        <v>0.11971613699475457</v>
      </c>
      <c r="CB33">
        <v>0.11971613699475457</v>
      </c>
      <c r="CC33">
        <v>0.11971613699475456</v>
      </c>
      <c r="CD33">
        <v>0.11962454622688409</v>
      </c>
      <c r="CE33">
        <v>0.14564459053870774</v>
      </c>
      <c r="CF33">
        <v>0.17246030435373785</v>
      </c>
      <c r="CG33">
        <v>0.20020961371021437</v>
      </c>
      <c r="CH33">
        <v>0.22894213738373767</v>
      </c>
      <c r="CI33">
        <v>0.2587110737539558</v>
      </c>
      <c r="CJ33">
        <v>0.28997503821031129</v>
      </c>
      <c r="CK33">
        <v>0.32221398365299719</v>
      </c>
      <c r="CL33">
        <v>0.35547424033697611</v>
      </c>
      <c r="CM33">
        <v>0.3898051211935834</v>
      </c>
      <c r="CN33">
        <v>0.42525916578246276</v>
      </c>
      <c r="CO33">
        <v>0.42525916578246276</v>
      </c>
      <c r="CP33">
        <v>0.42525916578246276</v>
      </c>
      <c r="CQ33">
        <v>0.42525916578246276</v>
      </c>
      <c r="CR33">
        <v>0.42525916578246276</v>
      </c>
      <c r="CS33">
        <v>0.42525916578246276</v>
      </c>
    </row>
    <row r="34" spans="1:97" x14ac:dyDescent="0.35">
      <c r="A34" s="142"/>
      <c r="B34" s="129"/>
      <c r="C34" s="153"/>
      <c r="D34" s="153"/>
      <c r="E34" s="153"/>
      <c r="F34" s="153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53"/>
      <c r="BH34" s="153"/>
      <c r="BI34" s="153"/>
      <c r="BJ34" s="153"/>
      <c r="BK34" s="153"/>
      <c r="BN34" t="s">
        <v>111</v>
      </c>
      <c r="BO34">
        <v>4.3647087577094491E-2</v>
      </c>
      <c r="BP34">
        <v>4.4916982880222653E-2</v>
      </c>
      <c r="BQ34">
        <v>4.6092535246087876E-2</v>
      </c>
      <c r="BR34">
        <v>4.718388150678051E-2</v>
      </c>
      <c r="BS34">
        <v>4.8199756483384856E-2</v>
      </c>
      <c r="BT34">
        <v>4.914772727272728E-2</v>
      </c>
      <c r="BU34">
        <v>5.8657121413313341E-2</v>
      </c>
      <c r="BV34">
        <v>6.8477878183311858E-2</v>
      </c>
      <c r="BW34">
        <v>7.8625544353636057E-2</v>
      </c>
      <c r="BX34">
        <v>8.9116719242902293E-2</v>
      </c>
      <c r="BY34">
        <v>9.99691453255169E-2</v>
      </c>
      <c r="BZ34">
        <v>9.9969145325516887E-2</v>
      </c>
      <c r="CA34">
        <v>9.99691453255169E-2</v>
      </c>
      <c r="CB34">
        <v>9.9969145325516887E-2</v>
      </c>
      <c r="CC34">
        <v>9.9969145325516887E-2</v>
      </c>
      <c r="CD34">
        <v>9.989266231317144E-2</v>
      </c>
      <c r="CE34">
        <v>0.12162074055294174</v>
      </c>
      <c r="CF34">
        <v>0.14401324384178135</v>
      </c>
      <c r="CG34">
        <v>0.16718534753121025</v>
      </c>
      <c r="CH34">
        <v>0.1911784858565235</v>
      </c>
      <c r="CI34">
        <v>0.21603708220691192</v>
      </c>
      <c r="CJ34">
        <v>0.2421441040725284</v>
      </c>
      <c r="CK34">
        <v>0.26906528531848267</v>
      </c>
      <c r="CL34">
        <v>0.29683931409582592</v>
      </c>
      <c r="CM34">
        <v>0.32550736924412693</v>
      </c>
      <c r="CN34">
        <v>0.35511332400391288</v>
      </c>
      <c r="CO34">
        <v>0.35511332400391288</v>
      </c>
      <c r="CP34">
        <v>0.35511332400391288</v>
      </c>
      <c r="CQ34">
        <v>0.35511332400391288</v>
      </c>
      <c r="CR34">
        <v>0.35511332400391288</v>
      </c>
      <c r="CS34">
        <v>0.35511332400391288</v>
      </c>
    </row>
    <row r="35" spans="1:97" x14ac:dyDescent="0.35">
      <c r="A35" s="141" t="s">
        <v>83</v>
      </c>
      <c r="B35" s="132">
        <f>'Initial demand info'!F27</f>
        <v>14708.902940000002</v>
      </c>
      <c r="C35" s="153">
        <f t="shared" si="29"/>
        <v>15744.250349017826</v>
      </c>
      <c r="D35" s="153">
        <f t="shared" si="29"/>
        <v>16779.597758035648</v>
      </c>
      <c r="E35" s="153">
        <f t="shared" si="29"/>
        <v>17814.945167053473</v>
      </c>
      <c r="F35" s="153">
        <f t="shared" si="29"/>
        <v>18850.292576071297</v>
      </c>
      <c r="G35" s="133">
        <f>G$23*AL35</f>
        <v>19885.639985089121</v>
      </c>
      <c r="H35" s="133">
        <f t="shared" ref="H35:P35" si="98">H$23*AM35</f>
        <v>23296.432247559685</v>
      </c>
      <c r="I35" s="133">
        <f t="shared" si="98"/>
        <v>26686.941193334715</v>
      </c>
      <c r="J35" s="133">
        <f t="shared" si="98"/>
        <v>30056.154048085384</v>
      </c>
      <c r="K35" s="133">
        <f t="shared" si="98"/>
        <v>33402.989470620989</v>
      </c>
      <c r="L35" s="133">
        <f t="shared" si="98"/>
        <v>36726.291650342071</v>
      </c>
      <c r="M35" s="133">
        <f t="shared" si="98"/>
        <v>36273.79297022766</v>
      </c>
      <c r="N35" s="133">
        <f t="shared" si="98"/>
        <v>35821.294290113256</v>
      </c>
      <c r="O35" s="133">
        <f t="shared" si="98"/>
        <v>35368.795609998844</v>
      </c>
      <c r="P35" s="133">
        <f t="shared" si="98"/>
        <v>34916.29692988444</v>
      </c>
      <c r="Q35" s="133">
        <f t="shared" ref="Q35" si="99">Q$23*AV35</f>
        <v>34463.798249770043</v>
      </c>
      <c r="R35" s="133">
        <f t="shared" ref="R35" si="100">R$23*AW35</f>
        <v>33893.64078186977</v>
      </c>
      <c r="S35" s="133">
        <f t="shared" ref="S35" si="101">S$23*AX35</f>
        <v>33323.483313969504</v>
      </c>
      <c r="T35" s="133">
        <f t="shared" ref="T35" si="102">T$23*AY35</f>
        <v>32753.325846069234</v>
      </c>
      <c r="U35" s="133">
        <f t="shared" ref="U35" si="103">U$23*AZ35</f>
        <v>32183.168378168964</v>
      </c>
      <c r="V35" s="133">
        <f t="shared" ref="V35" si="104">V$23*BA35</f>
        <v>31613.010910268691</v>
      </c>
      <c r="W35" s="133">
        <f t="shared" ref="W35" si="105">W$23*BB35</f>
        <v>31134.985277994729</v>
      </c>
      <c r="X35" s="133">
        <f t="shared" ref="X35" si="106">X$23*BC35</f>
        <v>30656.959645720763</v>
      </c>
      <c r="Y35" s="133">
        <f t="shared" ref="Y35" si="107">Y$23*BD35</f>
        <v>30178.9340134468</v>
      </c>
      <c r="Z35" s="133">
        <f t="shared" ref="Z35" si="108">Z$23*BE35</f>
        <v>29700.908381172838</v>
      </c>
      <c r="AA35" s="133">
        <f t="shared" ref="AA35:AF35" si="109">AA$23*BF35</f>
        <v>29222.882748898868</v>
      </c>
      <c r="AB35" s="133">
        <f t="shared" si="109"/>
        <v>29000.321810231275</v>
      </c>
      <c r="AC35" s="133">
        <f t="shared" si="109"/>
        <v>28777.760871563685</v>
      </c>
      <c r="AD35" s="133">
        <f t="shared" si="109"/>
        <v>28555.199932896096</v>
      </c>
      <c r="AE35" s="133">
        <f t="shared" si="109"/>
        <v>28332.638994228506</v>
      </c>
      <c r="AF35" s="133">
        <f t="shared" si="109"/>
        <v>28110.078055560927</v>
      </c>
      <c r="AG35" s="161">
        <f>B35/B$23</f>
        <v>4.3647087577094491E-2</v>
      </c>
      <c r="AH35" s="161">
        <f t="shared" ref="AH35:AK35" si="110">C35/C$23</f>
        <v>4.4916982880222653E-2</v>
      </c>
      <c r="AI35" s="161">
        <f t="shared" si="110"/>
        <v>4.6092535246087876E-2</v>
      </c>
      <c r="AJ35" s="161">
        <f t="shared" si="110"/>
        <v>4.718388150678051E-2</v>
      </c>
      <c r="AK35" s="161">
        <f t="shared" si="110"/>
        <v>4.8199756483384856E-2</v>
      </c>
      <c r="AL35" s="133">
        <v>4.914772727272728E-2</v>
      </c>
      <c r="AM35" s="133">
        <v>5.8657121413313341E-2</v>
      </c>
      <c r="AN35" s="133">
        <v>6.8477878183311858E-2</v>
      </c>
      <c r="AO35" s="133">
        <v>7.8625544353636057E-2</v>
      </c>
      <c r="AP35" s="133">
        <v>8.9116719242902293E-2</v>
      </c>
      <c r="AQ35" s="133">
        <v>9.9969145325516887E-2</v>
      </c>
      <c r="AR35" s="133">
        <v>9.9969145325516887E-2</v>
      </c>
      <c r="AS35" s="133">
        <v>9.9969145325516887E-2</v>
      </c>
      <c r="AT35" s="133">
        <v>9.9969145325516887E-2</v>
      </c>
      <c r="AU35" s="133">
        <v>9.9969145325516887E-2</v>
      </c>
      <c r="AV35" s="133">
        <v>9.9969145325516887E-2</v>
      </c>
      <c r="AW35" s="133">
        <v>9.9969145325516887E-2</v>
      </c>
      <c r="AX35" s="133">
        <v>9.9969145325516887E-2</v>
      </c>
      <c r="AY35" s="133">
        <v>9.9969145325516887E-2</v>
      </c>
      <c r="AZ35" s="133">
        <v>9.9969145325516887E-2</v>
      </c>
      <c r="BA35" s="133">
        <v>9.9969145325516887E-2</v>
      </c>
      <c r="BB35" s="133">
        <v>9.9969145325516887E-2</v>
      </c>
      <c r="BC35" s="133">
        <v>9.9969145325516887E-2</v>
      </c>
      <c r="BD35" s="133">
        <v>9.9969145325516887E-2</v>
      </c>
      <c r="BE35" s="133">
        <v>9.9969145325516887E-2</v>
      </c>
      <c r="BF35" s="133">
        <v>9.9969145325516887E-2</v>
      </c>
      <c r="BG35" s="60">
        <v>9.9969145325516887E-2</v>
      </c>
      <c r="BH35" s="60">
        <v>9.9969145325516887E-2</v>
      </c>
      <c r="BI35" s="60">
        <v>9.9969145325516887E-2</v>
      </c>
      <c r="BJ35" s="60">
        <v>9.9969145325516887E-2</v>
      </c>
      <c r="BK35" s="60">
        <v>9.9969145325516887E-2</v>
      </c>
      <c r="BN35" t="s">
        <v>114</v>
      </c>
      <c r="BO35">
        <v>0.8929624524847033</v>
      </c>
      <c r="BP35">
        <v>0.88339816820283423</v>
      </c>
      <c r="BQ35">
        <v>0.87454443279042438</v>
      </c>
      <c r="BR35">
        <v>0.86632490015532682</v>
      </c>
      <c r="BS35">
        <v>0.85867378352614709</v>
      </c>
      <c r="BT35">
        <v>0.85153409090909082</v>
      </c>
      <c r="BU35">
        <v>0.81906783672998074</v>
      </c>
      <c r="BV35">
        <v>0.7855712944490082</v>
      </c>
      <c r="BW35">
        <v>0.75099302034242077</v>
      </c>
      <c r="BX35">
        <v>0.71527808784275648</v>
      </c>
      <c r="BY35">
        <v>0.67836778771983952</v>
      </c>
      <c r="BZ35">
        <v>0.67836778771983952</v>
      </c>
      <c r="CA35">
        <v>0.67836778771983952</v>
      </c>
      <c r="CB35">
        <v>0.67836778771983952</v>
      </c>
      <c r="CC35">
        <v>0.67836778771983952</v>
      </c>
      <c r="CD35">
        <v>0.67784879146640553</v>
      </c>
      <c r="CE35">
        <v>0.6345597188213935</v>
      </c>
      <c r="CF35">
        <v>0.5892525570819378</v>
      </c>
      <c r="CG35">
        <v>0.54236801558346037</v>
      </c>
      <c r="CH35">
        <v>0.49382225967934529</v>
      </c>
      <c r="CI35">
        <v>0.44352540671319102</v>
      </c>
      <c r="CJ35">
        <v>0.39070259155297116</v>
      </c>
      <c r="CK35">
        <v>0.33623247281749413</v>
      </c>
      <c r="CL35">
        <v>0.28003677206265476</v>
      </c>
      <c r="CM35">
        <v>0.22203217138868439</v>
      </c>
      <c r="CN35">
        <v>0.16212990126504168</v>
      </c>
      <c r="CO35">
        <v>0.16212990126504168</v>
      </c>
      <c r="CP35">
        <v>0.16212990126504168</v>
      </c>
      <c r="CQ35">
        <v>0.16212990126504168</v>
      </c>
      <c r="CR35">
        <v>0.16212990126504168</v>
      </c>
      <c r="CS35">
        <v>0.16212990126504168</v>
      </c>
    </row>
    <row r="36" spans="1:97" x14ac:dyDescent="0.35">
      <c r="A36" s="142" t="s">
        <v>113</v>
      </c>
      <c r="B36" s="129"/>
      <c r="C36" s="153"/>
      <c r="D36" s="153"/>
      <c r="E36" s="153"/>
      <c r="F36" s="153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43">
        <f>Q35/(Q35+Q25+Q45)</f>
        <v>0.43524401875310698</v>
      </c>
      <c r="R36" s="143">
        <f t="shared" ref="R36:AA36" si="111">R35/(R35+R25+R45)</f>
        <v>0.43524401875310686</v>
      </c>
      <c r="S36" s="143">
        <f t="shared" si="111"/>
        <v>0.43524401875310686</v>
      </c>
      <c r="T36" s="143">
        <f t="shared" si="111"/>
        <v>0.43524401875310698</v>
      </c>
      <c r="U36" s="143">
        <f t="shared" si="111"/>
        <v>0.43524401875310692</v>
      </c>
      <c r="V36" s="143">
        <f t="shared" si="111"/>
        <v>0.43524401875310686</v>
      </c>
      <c r="W36" s="143">
        <f t="shared" si="111"/>
        <v>0.43524401875310692</v>
      </c>
      <c r="X36" s="143">
        <f t="shared" si="111"/>
        <v>0.43524401875310686</v>
      </c>
      <c r="Y36" s="143">
        <f t="shared" si="111"/>
        <v>0.43524401875310686</v>
      </c>
      <c r="Z36" s="143">
        <f t="shared" si="111"/>
        <v>0.43524401875310686</v>
      </c>
      <c r="AA36" s="143">
        <f t="shared" si="111"/>
        <v>0.43524401875310692</v>
      </c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53"/>
      <c r="BH36" s="153"/>
      <c r="BI36" s="153"/>
      <c r="BJ36" s="153"/>
      <c r="BK36" s="153"/>
      <c r="BN36" t="s">
        <v>110</v>
      </c>
      <c r="BO36">
        <v>3.3377716489710378E-2</v>
      </c>
      <c r="BP36">
        <v>3.459174461768344E-2</v>
      </c>
      <c r="BQ36">
        <v>3.5715580287088718E-2</v>
      </c>
      <c r="BR36">
        <v>3.6758914375005544E-2</v>
      </c>
      <c r="BS36">
        <v>3.7730097426918269E-2</v>
      </c>
      <c r="BT36">
        <v>3.8636363636363712E-2</v>
      </c>
      <c r="BU36">
        <v>4.8611512037411299E-2</v>
      </c>
      <c r="BV36">
        <v>5.8913273090012971E-2</v>
      </c>
      <c r="BW36">
        <v>6.9557955019984546E-2</v>
      </c>
      <c r="BX36">
        <v>8.0562970152875571E-2</v>
      </c>
      <c r="BY36">
        <v>9.1946929959888929E-2</v>
      </c>
      <c r="BZ36">
        <v>9.1946929959888915E-2</v>
      </c>
      <c r="CA36">
        <v>9.1946929959888929E-2</v>
      </c>
      <c r="CB36">
        <v>9.1946929959888929E-2</v>
      </c>
      <c r="CC36">
        <v>9.1946929959888929E-2</v>
      </c>
      <c r="CD36">
        <v>9.1876584473225512E-2</v>
      </c>
      <c r="CE36">
        <v>8.6009122305102478E-2</v>
      </c>
      <c r="CF36">
        <v>7.9868125485159799E-2</v>
      </c>
      <c r="CG36">
        <v>7.3513328380403448E-2</v>
      </c>
      <c r="CH36">
        <v>6.6933367924190024E-2</v>
      </c>
      <c r="CI36">
        <v>6.0116061294070718E-2</v>
      </c>
      <c r="CJ36">
        <v>5.2956382173477284E-2</v>
      </c>
      <c r="CK36">
        <v>4.5573425195062869E-2</v>
      </c>
      <c r="CL36">
        <v>3.7956580387735389E-2</v>
      </c>
      <c r="CM36">
        <v>3.0094554725450379E-2</v>
      </c>
      <c r="CN36">
        <v>2.197531626041346E-2</v>
      </c>
      <c r="CO36">
        <v>2.197531626041346E-2</v>
      </c>
      <c r="CP36">
        <v>2.197531626041346E-2</v>
      </c>
      <c r="CQ36">
        <v>2.197531626041346E-2</v>
      </c>
      <c r="CR36">
        <v>2.197531626041346E-2</v>
      </c>
      <c r="CS36">
        <v>2.197531626041346E-2</v>
      </c>
    </row>
    <row r="37" spans="1:97" x14ac:dyDescent="0.35">
      <c r="A37" s="144" t="s">
        <v>111</v>
      </c>
      <c r="B37" s="151">
        <f>B35</f>
        <v>14708.902940000002</v>
      </c>
      <c r="C37" s="153">
        <f t="shared" si="29"/>
        <v>15744.250349017826</v>
      </c>
      <c r="D37" s="153">
        <f t="shared" si="29"/>
        <v>16779.597758035648</v>
      </c>
      <c r="E37" s="153">
        <f t="shared" si="29"/>
        <v>17814.945167053473</v>
      </c>
      <c r="F37" s="153">
        <f t="shared" si="29"/>
        <v>18850.292576071297</v>
      </c>
      <c r="G37" s="145">
        <f>G35</f>
        <v>19885.639985089121</v>
      </c>
      <c r="H37" s="145">
        <f t="shared" ref="H37:P37" si="112">H35</f>
        <v>23296.432247559685</v>
      </c>
      <c r="I37" s="145">
        <f t="shared" si="112"/>
        <v>26686.941193334715</v>
      </c>
      <c r="J37" s="145">
        <f t="shared" si="112"/>
        <v>30056.154048085384</v>
      </c>
      <c r="K37" s="145">
        <f t="shared" si="112"/>
        <v>33402.989470620989</v>
      </c>
      <c r="L37" s="145">
        <f t="shared" si="112"/>
        <v>36726.291650342071</v>
      </c>
      <c r="M37" s="145">
        <f t="shared" si="112"/>
        <v>36273.79297022766</v>
      </c>
      <c r="N37" s="145">
        <f t="shared" si="112"/>
        <v>35821.294290113256</v>
      </c>
      <c r="O37" s="145">
        <f t="shared" si="112"/>
        <v>35368.795609998844</v>
      </c>
      <c r="P37" s="145">
        <f t="shared" si="112"/>
        <v>34916.29692988444</v>
      </c>
      <c r="Q37" s="145">
        <v>34437.431163221234</v>
      </c>
      <c r="R37" s="145">
        <f>R35+R36*(R42+R32)</f>
        <v>41234.419665226596</v>
      </c>
      <c r="S37" s="145">
        <f t="shared" ref="S37:AA37" si="113">S35+S36*(S42+S32)</f>
        <v>48005.04108068315</v>
      </c>
      <c r="T37" s="145">
        <f t="shared" si="113"/>
        <v>54775.66249613971</v>
      </c>
      <c r="U37" s="145">
        <f t="shared" si="113"/>
        <v>61546.283911596278</v>
      </c>
      <c r="V37" s="145">
        <f t="shared" si="113"/>
        <v>68316.905327052809</v>
      </c>
      <c r="W37" s="145">
        <f t="shared" si="113"/>
        <v>75414.800145610963</v>
      </c>
      <c r="X37" s="145">
        <f t="shared" si="113"/>
        <v>82512.694964169103</v>
      </c>
      <c r="Y37" s="145">
        <f t="shared" si="113"/>
        <v>89610.589782727242</v>
      </c>
      <c r="Z37" s="145">
        <f t="shared" si="113"/>
        <v>96708.484601285381</v>
      </c>
      <c r="AA37" s="145">
        <f t="shared" si="113"/>
        <v>103806.37941984349</v>
      </c>
      <c r="AB37" s="145">
        <f>AB$23*BG37</f>
        <v>103015.79193941312</v>
      </c>
      <c r="AC37" s="145">
        <f t="shared" ref="AC37:AF37" si="114">AC$23*BH37</f>
        <v>102225.20445898273</v>
      </c>
      <c r="AD37" s="145">
        <f t="shared" si="114"/>
        <v>101434.61697855235</v>
      </c>
      <c r="AE37" s="145">
        <f t="shared" si="114"/>
        <v>100644.02949812198</v>
      </c>
      <c r="AF37" s="145">
        <f t="shared" si="114"/>
        <v>99853.442017691632</v>
      </c>
      <c r="AG37" s="161">
        <f>B37/B$23</f>
        <v>4.3647087577094491E-2</v>
      </c>
      <c r="AH37" s="161">
        <f t="shared" ref="AH37:BF37" si="115">C37/C$23</f>
        <v>4.4916982880222653E-2</v>
      </c>
      <c r="AI37" s="161">
        <f t="shared" si="115"/>
        <v>4.6092535246087876E-2</v>
      </c>
      <c r="AJ37" s="161">
        <f t="shared" si="115"/>
        <v>4.718388150678051E-2</v>
      </c>
      <c r="AK37" s="161">
        <f t="shared" si="115"/>
        <v>4.8199756483384856E-2</v>
      </c>
      <c r="AL37" s="161">
        <f t="shared" si="115"/>
        <v>4.914772727272728E-2</v>
      </c>
      <c r="AM37" s="161">
        <f t="shared" si="115"/>
        <v>5.8657121413313341E-2</v>
      </c>
      <c r="AN37" s="161">
        <f t="shared" si="115"/>
        <v>6.8477878183311858E-2</v>
      </c>
      <c r="AO37" s="161">
        <f t="shared" si="115"/>
        <v>7.8625544353636057E-2</v>
      </c>
      <c r="AP37" s="161">
        <f t="shared" si="115"/>
        <v>8.9116719242902293E-2</v>
      </c>
      <c r="AQ37" s="161">
        <f t="shared" si="115"/>
        <v>9.99691453255169E-2</v>
      </c>
      <c r="AR37" s="161">
        <f t="shared" si="115"/>
        <v>9.9969145325516887E-2</v>
      </c>
      <c r="AS37" s="161">
        <f t="shared" si="115"/>
        <v>9.99691453255169E-2</v>
      </c>
      <c r="AT37" s="161">
        <f t="shared" si="115"/>
        <v>9.9969145325516887E-2</v>
      </c>
      <c r="AU37" s="161">
        <f t="shared" si="115"/>
        <v>9.9969145325516887E-2</v>
      </c>
      <c r="AV37" s="161">
        <f t="shared" si="115"/>
        <v>9.989266231317144E-2</v>
      </c>
      <c r="AW37" s="161">
        <f t="shared" si="115"/>
        <v>0.12162074055294174</v>
      </c>
      <c r="AX37" s="161">
        <f t="shared" si="115"/>
        <v>0.14401324384178135</v>
      </c>
      <c r="AY37" s="161">
        <f t="shared" si="115"/>
        <v>0.16718534753121025</v>
      </c>
      <c r="AZ37" s="161">
        <f t="shared" si="115"/>
        <v>0.1911784858565235</v>
      </c>
      <c r="BA37" s="161">
        <f t="shared" si="115"/>
        <v>0.21603708220691192</v>
      </c>
      <c r="BB37" s="161">
        <f t="shared" si="115"/>
        <v>0.2421441040725284</v>
      </c>
      <c r="BC37" s="161">
        <f t="shared" si="115"/>
        <v>0.26906528531848267</v>
      </c>
      <c r="BD37" s="161">
        <f t="shared" si="115"/>
        <v>0.29683931409582592</v>
      </c>
      <c r="BE37" s="161">
        <f t="shared" si="115"/>
        <v>0.32550736924412693</v>
      </c>
      <c r="BF37" s="161">
        <f t="shared" si="115"/>
        <v>0.35511332400391288</v>
      </c>
      <c r="BG37" s="162">
        <v>0.35511332400391288</v>
      </c>
      <c r="BH37" s="162">
        <v>0.35511332400391288</v>
      </c>
      <c r="BI37" s="162">
        <v>0.35511332400391288</v>
      </c>
      <c r="BJ37" s="162">
        <v>0.35511332400391288</v>
      </c>
      <c r="BK37" s="162">
        <v>0.35511332400391288</v>
      </c>
      <c r="BN37" t="s">
        <v>112</v>
      </c>
      <c r="BO37">
        <v>0</v>
      </c>
      <c r="BP37">
        <v>1.154316019040833E-3</v>
      </c>
      <c r="BQ37">
        <v>2.2228757056519674E-3</v>
      </c>
      <c r="BR37">
        <v>3.2148932900422926E-3</v>
      </c>
      <c r="BS37">
        <v>4.1383085951847967E-3</v>
      </c>
      <c r="BT37">
        <v>5.0000000000000001E-3</v>
      </c>
      <c r="BU37">
        <v>6.0000000000000001E-3</v>
      </c>
      <c r="BV37">
        <v>7.000000000000001E-3</v>
      </c>
      <c r="BW37">
        <v>8.0000000000000002E-3</v>
      </c>
      <c r="BX37">
        <v>9.0000000000000011E-3</v>
      </c>
      <c r="BY37">
        <v>1.0000000000000002E-2</v>
      </c>
      <c r="BZ37">
        <v>1.0000000000000002E-2</v>
      </c>
      <c r="CA37">
        <v>1.0000000000000002E-2</v>
      </c>
      <c r="CB37">
        <v>1.0000000000000002E-2</v>
      </c>
      <c r="CC37">
        <v>1.0000000000000002E-2</v>
      </c>
      <c r="CD37">
        <v>9.9923493381786563E-3</v>
      </c>
      <c r="CE37">
        <v>1.2165827781854445E-2</v>
      </c>
      <c r="CF37">
        <v>1.4405769237383121E-2</v>
      </c>
      <c r="CG37">
        <v>1.6723694794711481E-2</v>
      </c>
      <c r="CH37">
        <v>1.9123749156203473E-2</v>
      </c>
      <c r="CI37">
        <v>2.1610376031870413E-2</v>
      </c>
      <c r="CJ37">
        <v>2.4221883990711856E-2</v>
      </c>
      <c r="CK37">
        <v>2.6914833015963018E-2</v>
      </c>
      <c r="CL37">
        <v>2.9693093116807762E-2</v>
      </c>
      <c r="CM37">
        <v>3.2560783448154787E-2</v>
      </c>
      <c r="CN37">
        <v>3.5522292688169171E-2</v>
      </c>
      <c r="CO37">
        <v>3.5522292688169171E-2</v>
      </c>
      <c r="CP37">
        <v>3.5522292688169171E-2</v>
      </c>
      <c r="CQ37">
        <v>3.5522292688169171E-2</v>
      </c>
      <c r="CR37">
        <v>3.5522292688169171E-2</v>
      </c>
      <c r="CS37">
        <v>3.5522292688169171E-2</v>
      </c>
    </row>
    <row r="38" spans="1:97" x14ac:dyDescent="0.35">
      <c r="A38" s="142"/>
      <c r="B38" s="129"/>
      <c r="C38" s="153"/>
      <c r="D38" s="153"/>
      <c r="E38" s="153"/>
      <c r="F38" s="153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53"/>
      <c r="BH38" s="153"/>
      <c r="BI38" s="153"/>
      <c r="BJ38" s="153"/>
      <c r="BK38" s="153"/>
    </row>
    <row r="39" spans="1:97" x14ac:dyDescent="0.35">
      <c r="A39" s="141" t="s">
        <v>80</v>
      </c>
      <c r="B39" s="132">
        <f>'Initial demand info'!F28</f>
        <v>300924.95906999998</v>
      </c>
      <c r="C39" s="153">
        <f t="shared" si="29"/>
        <v>309647.73291068914</v>
      </c>
      <c r="D39" s="153">
        <f t="shared" si="29"/>
        <v>318370.5067513783</v>
      </c>
      <c r="E39" s="153">
        <f t="shared" si="29"/>
        <v>327093.28059206746</v>
      </c>
      <c r="F39" s="153">
        <f t="shared" si="29"/>
        <v>335816.05443275662</v>
      </c>
      <c r="G39" s="133">
        <f>G$23*AL39</f>
        <v>344538.82827344578</v>
      </c>
      <c r="H39" s="133">
        <f t="shared" ref="H39:P39" si="116">H$23*AM39</f>
        <v>325303.35455916869</v>
      </c>
      <c r="I39" s="133">
        <f t="shared" si="116"/>
        <v>306149.89094743278</v>
      </c>
      <c r="J39" s="133">
        <f t="shared" si="116"/>
        <v>287081.78867323638</v>
      </c>
      <c r="K39" s="133">
        <f t="shared" si="116"/>
        <v>268102.62585693673</v>
      </c>
      <c r="L39" s="133">
        <f t="shared" si="116"/>
        <v>249216.22703557255</v>
      </c>
      <c r="M39" s="133">
        <f t="shared" si="116"/>
        <v>246145.67434078016</v>
      </c>
      <c r="N39" s="133">
        <f t="shared" si="116"/>
        <v>243075.12164598776</v>
      </c>
      <c r="O39" s="133">
        <f t="shared" si="116"/>
        <v>240004.56895119537</v>
      </c>
      <c r="P39" s="133">
        <f t="shared" si="116"/>
        <v>236934.01625640297</v>
      </c>
      <c r="Q39" s="133">
        <f t="shared" ref="Q39" si="117">Q$23*AV39</f>
        <v>233863.46356161067</v>
      </c>
      <c r="R39" s="133">
        <f t="shared" ref="R39" si="118">R$23*AW39</f>
        <v>229994.50520558952</v>
      </c>
      <c r="S39" s="133">
        <f t="shared" ref="S39" si="119">S$23*AX39</f>
        <v>226125.54684956837</v>
      </c>
      <c r="T39" s="133">
        <f t="shared" ref="T39" si="120">T$23*AY39</f>
        <v>222256.58849354723</v>
      </c>
      <c r="U39" s="133">
        <f t="shared" ref="U39" si="121">U$23*AZ39</f>
        <v>218387.63013752608</v>
      </c>
      <c r="V39" s="133">
        <f t="shared" ref="V39" si="122">V$23*BA39</f>
        <v>214518.67178150491</v>
      </c>
      <c r="W39" s="133">
        <f t="shared" ref="W39" si="123">W$23*BB39</f>
        <v>211274.89901958758</v>
      </c>
      <c r="X39" s="133">
        <f t="shared" ref="X39" si="124">X$23*BC39</f>
        <v>208031.12625767026</v>
      </c>
      <c r="Y39" s="133">
        <f t="shared" ref="Y39" si="125">Y$23*BD39</f>
        <v>204787.35349575293</v>
      </c>
      <c r="Z39" s="133">
        <f t="shared" ref="Z39" si="126">Z$23*BE39</f>
        <v>201543.58073383561</v>
      </c>
      <c r="AA39" s="133">
        <f t="shared" ref="AA39:AF39" si="127">AA$23*BF39</f>
        <v>198299.80797191826</v>
      </c>
      <c r="AB39" s="133">
        <f t="shared" si="127"/>
        <v>196789.56027393931</v>
      </c>
      <c r="AC39" s="133">
        <f t="shared" si="127"/>
        <v>195279.31257596036</v>
      </c>
      <c r="AD39" s="133">
        <f t="shared" si="127"/>
        <v>193769.06487798141</v>
      </c>
      <c r="AE39" s="133">
        <f t="shared" si="127"/>
        <v>192258.81718000249</v>
      </c>
      <c r="AF39" s="133">
        <f t="shared" si="127"/>
        <v>190748.56948202362</v>
      </c>
      <c r="AG39" s="161">
        <f>B39/B$23</f>
        <v>0.8929624524847033</v>
      </c>
      <c r="AH39" s="161">
        <f t="shared" ref="AH39:AK39" si="128">C39/C$23</f>
        <v>0.88339816820283423</v>
      </c>
      <c r="AI39" s="161">
        <f t="shared" si="128"/>
        <v>0.87454443279042438</v>
      </c>
      <c r="AJ39" s="161">
        <f t="shared" si="128"/>
        <v>0.86632490015532682</v>
      </c>
      <c r="AK39" s="161">
        <f t="shared" si="128"/>
        <v>0.85867378352614709</v>
      </c>
      <c r="AL39" s="133">
        <v>0.85153409090909082</v>
      </c>
      <c r="AM39" s="133">
        <v>0.81906783672998085</v>
      </c>
      <c r="AN39" s="133">
        <v>0.7855712944490082</v>
      </c>
      <c r="AO39" s="133">
        <v>0.75099302034242077</v>
      </c>
      <c r="AP39" s="133">
        <v>0.71527808784275648</v>
      </c>
      <c r="AQ39" s="133">
        <v>0.67836778771983952</v>
      </c>
      <c r="AR39" s="133">
        <v>0.67836778771983952</v>
      </c>
      <c r="AS39" s="133">
        <v>0.67836778771983952</v>
      </c>
      <c r="AT39" s="133">
        <v>0.67836778771983952</v>
      </c>
      <c r="AU39" s="133">
        <v>0.67836778771983952</v>
      </c>
      <c r="AV39" s="133">
        <v>0.67836778771983952</v>
      </c>
      <c r="AW39" s="133">
        <v>0.67836778771983952</v>
      </c>
      <c r="AX39" s="133">
        <v>0.67836778771983952</v>
      </c>
      <c r="AY39" s="133">
        <v>0.67836778771983952</v>
      </c>
      <c r="AZ39" s="133">
        <v>0.67836778771983952</v>
      </c>
      <c r="BA39" s="133">
        <v>0.67836778771983952</v>
      </c>
      <c r="BB39" s="133">
        <v>0.67836778771983952</v>
      </c>
      <c r="BC39" s="133">
        <v>0.67836778771983952</v>
      </c>
      <c r="BD39" s="133">
        <v>0.67836778771983952</v>
      </c>
      <c r="BE39" s="133">
        <v>0.67836778771983952</v>
      </c>
      <c r="BF39" s="133">
        <v>0.67836778771983952</v>
      </c>
      <c r="BG39" s="133">
        <v>0.67836778771983952</v>
      </c>
      <c r="BH39" s="133">
        <v>0.67836778771983952</v>
      </c>
      <c r="BI39" s="133">
        <v>0.67836778771983952</v>
      </c>
      <c r="BJ39" s="133">
        <v>0.67836778771983952</v>
      </c>
      <c r="BK39" s="133">
        <v>0.67836778771983952</v>
      </c>
    </row>
    <row r="40" spans="1:97" x14ac:dyDescent="0.35">
      <c r="A40" s="142"/>
      <c r="B40" s="129"/>
      <c r="C40" s="153"/>
      <c r="D40" s="153"/>
      <c r="E40" s="153"/>
      <c r="F40" s="153"/>
      <c r="G40" s="128"/>
      <c r="H40" s="128"/>
      <c r="I40" s="128"/>
      <c r="J40" s="128"/>
      <c r="K40" s="128"/>
      <c r="L40" s="128"/>
      <c r="M40" s="128"/>
      <c r="N40" s="128"/>
      <c r="O40" s="128"/>
      <c r="P40" s="128" t="s">
        <v>115</v>
      </c>
      <c r="Q40" s="128">
        <f>Q39*0.761</f>
        <v>177970.09577038573</v>
      </c>
      <c r="R40" s="128">
        <f t="shared" ref="R40:AA40" si="129">R39*0.761</f>
        <v>175025.81846145363</v>
      </c>
      <c r="S40" s="128">
        <f t="shared" si="129"/>
        <v>172081.54115252153</v>
      </c>
      <c r="T40" s="128">
        <f t="shared" si="129"/>
        <v>169137.26384358943</v>
      </c>
      <c r="U40" s="128">
        <f t="shared" si="129"/>
        <v>166192.98653465736</v>
      </c>
      <c r="V40" s="128">
        <f t="shared" si="129"/>
        <v>163248.70922572524</v>
      </c>
      <c r="W40" s="128">
        <f t="shared" si="129"/>
        <v>160780.19815390615</v>
      </c>
      <c r="X40" s="128">
        <f t="shared" si="129"/>
        <v>158311.68708208707</v>
      </c>
      <c r="Y40" s="128">
        <f t="shared" si="129"/>
        <v>155843.17601026798</v>
      </c>
      <c r="Z40" s="128">
        <f t="shared" si="129"/>
        <v>153374.6649384489</v>
      </c>
      <c r="AA40" s="128">
        <f t="shared" si="129"/>
        <v>150906.15386662979</v>
      </c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53"/>
      <c r="BH40" s="153"/>
      <c r="BI40" s="153"/>
      <c r="BJ40" s="153"/>
      <c r="BK40" s="153"/>
    </row>
    <row r="41" spans="1:97" x14ac:dyDescent="0.35">
      <c r="A41" s="141"/>
      <c r="B41" s="134"/>
      <c r="C41" s="153"/>
      <c r="D41" s="153"/>
      <c r="E41" s="153"/>
      <c r="F41" s="153"/>
      <c r="G41" s="133"/>
      <c r="H41" s="133"/>
      <c r="I41" s="133"/>
      <c r="J41" s="133"/>
      <c r="K41" s="133"/>
      <c r="L41" s="133"/>
      <c r="M41" s="133"/>
      <c r="N41" s="133"/>
      <c r="O41" s="133"/>
      <c r="P41" s="133" t="s">
        <v>116</v>
      </c>
      <c r="Q41" s="133">
        <f>Q39*0.761</f>
        <v>177970.09577038573</v>
      </c>
      <c r="R41" s="133">
        <f>Q41+($AA$41-$Q$41)/10</f>
        <v>160173.08619334715</v>
      </c>
      <c r="S41" s="133">
        <f t="shared" ref="S41:Z41" si="130">R41+($AA$41-$Q$41)/10</f>
        <v>142376.07661630856</v>
      </c>
      <c r="T41" s="133">
        <f t="shared" si="130"/>
        <v>124579.06703926998</v>
      </c>
      <c r="U41" s="133">
        <f t="shared" si="130"/>
        <v>106782.0574622314</v>
      </c>
      <c r="V41" s="133">
        <f t="shared" si="130"/>
        <v>88985.04788519282</v>
      </c>
      <c r="W41" s="133">
        <f t="shared" si="130"/>
        <v>71188.038308154239</v>
      </c>
      <c r="X41" s="133">
        <f t="shared" si="130"/>
        <v>53391.028731115664</v>
      </c>
      <c r="Y41" s="133">
        <f t="shared" si="130"/>
        <v>35594.01915407709</v>
      </c>
      <c r="Z41" s="133">
        <f t="shared" si="130"/>
        <v>17797.009577038516</v>
      </c>
      <c r="AA41" s="133">
        <v>0</v>
      </c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  <c r="BD41" s="133"/>
      <c r="BE41" s="133"/>
      <c r="BF41" s="133"/>
      <c r="BG41" s="60"/>
      <c r="BH41" s="60"/>
      <c r="BI41" s="60"/>
      <c r="BJ41" s="60"/>
      <c r="BK41" s="60"/>
    </row>
    <row r="42" spans="1:97" x14ac:dyDescent="0.35">
      <c r="A42" s="142"/>
      <c r="B42" s="129"/>
      <c r="C42" s="153"/>
      <c r="D42" s="153"/>
      <c r="E42" s="153"/>
      <c r="F42" s="153"/>
      <c r="G42" s="128"/>
      <c r="H42" s="128"/>
      <c r="I42" s="128"/>
      <c r="J42" s="128"/>
      <c r="K42" s="128"/>
      <c r="L42" s="128"/>
      <c r="M42" s="128"/>
      <c r="N42" s="128"/>
      <c r="O42" s="128"/>
      <c r="P42" s="128" t="s">
        <v>108</v>
      </c>
      <c r="Q42" s="128">
        <f t="shared" ref="Q42:AA42" si="131">Q40-Q41</f>
        <v>0</v>
      </c>
      <c r="R42" s="128">
        <f t="shared" si="131"/>
        <v>14852.732268106483</v>
      </c>
      <c r="S42" s="128">
        <f t="shared" si="131"/>
        <v>29705.464536212967</v>
      </c>
      <c r="T42" s="128">
        <f t="shared" si="131"/>
        <v>44558.19680431945</v>
      </c>
      <c r="U42" s="128">
        <f t="shared" si="131"/>
        <v>59410.929072425963</v>
      </c>
      <c r="V42" s="128">
        <f t="shared" si="131"/>
        <v>74263.661340532417</v>
      </c>
      <c r="W42" s="128">
        <f t="shared" si="131"/>
        <v>89592.159845751914</v>
      </c>
      <c r="X42" s="128">
        <f t="shared" si="131"/>
        <v>104920.65835097141</v>
      </c>
      <c r="Y42" s="128">
        <f t="shared" si="131"/>
        <v>120249.15685619089</v>
      </c>
      <c r="Z42" s="128">
        <f t="shared" si="131"/>
        <v>135577.65536141038</v>
      </c>
      <c r="AA42" s="128">
        <f t="shared" si="131"/>
        <v>150906.15386662979</v>
      </c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53"/>
      <c r="BH42" s="153"/>
      <c r="BI42" s="153"/>
      <c r="BJ42" s="153"/>
      <c r="BK42" s="153"/>
    </row>
    <row r="43" spans="1:97" x14ac:dyDescent="0.35">
      <c r="A43" s="144" t="s">
        <v>114</v>
      </c>
      <c r="B43" s="151">
        <f>B39</f>
        <v>300924.95906999998</v>
      </c>
      <c r="C43" s="153">
        <f t="shared" ref="C43:F47" si="132">B43+($G43-$B43)/5</f>
        <v>309647.73291068914</v>
      </c>
      <c r="D43" s="153">
        <f t="shared" si="132"/>
        <v>318370.5067513783</v>
      </c>
      <c r="E43" s="153">
        <f t="shared" si="132"/>
        <v>327093.28059206746</v>
      </c>
      <c r="F43" s="153">
        <f t="shared" si="132"/>
        <v>335816.05443275662</v>
      </c>
      <c r="G43" s="145">
        <f>G39</f>
        <v>344538.82827344578</v>
      </c>
      <c r="H43" s="145">
        <f t="shared" ref="H43:P43" si="133">H39</f>
        <v>325303.35455916869</v>
      </c>
      <c r="I43" s="145">
        <f t="shared" si="133"/>
        <v>306149.89094743278</v>
      </c>
      <c r="J43" s="145">
        <f t="shared" si="133"/>
        <v>287081.78867323638</v>
      </c>
      <c r="K43" s="145">
        <f t="shared" si="133"/>
        <v>268102.62585693673</v>
      </c>
      <c r="L43" s="145">
        <f t="shared" si="133"/>
        <v>249216.22703557255</v>
      </c>
      <c r="M43" s="145">
        <f t="shared" si="133"/>
        <v>246145.67434078016</v>
      </c>
      <c r="N43" s="145">
        <f t="shared" si="133"/>
        <v>243075.12164598776</v>
      </c>
      <c r="O43" s="145">
        <f t="shared" si="133"/>
        <v>240004.56895119537</v>
      </c>
      <c r="P43" s="145">
        <f t="shared" si="133"/>
        <v>236934.01625640297</v>
      </c>
      <c r="Q43" s="145">
        <v>233684.5425344028</v>
      </c>
      <c r="R43" s="145">
        <f>R39-R42</f>
        <v>215141.77293748304</v>
      </c>
      <c r="S43" s="145">
        <f t="shared" ref="S43:AA43" si="134">S39-S42</f>
        <v>196420.08231335541</v>
      </c>
      <c r="T43" s="145">
        <f t="shared" si="134"/>
        <v>177698.39168922778</v>
      </c>
      <c r="U43" s="145">
        <f t="shared" si="134"/>
        <v>158976.70106510012</v>
      </c>
      <c r="V43" s="145">
        <f t="shared" si="134"/>
        <v>140255.01044097249</v>
      </c>
      <c r="W43" s="145">
        <f t="shared" si="134"/>
        <v>121682.73917383567</v>
      </c>
      <c r="X43" s="145">
        <f t="shared" si="134"/>
        <v>103110.46790669885</v>
      </c>
      <c r="Y43" s="145">
        <f t="shared" si="134"/>
        <v>84538.19663956204</v>
      </c>
      <c r="Z43" s="145">
        <f t="shared" si="134"/>
        <v>65965.925372425234</v>
      </c>
      <c r="AA43" s="145">
        <f t="shared" si="134"/>
        <v>47393.654105288471</v>
      </c>
      <c r="AB43" s="145">
        <f t="shared" ref="AB43:AF43" si="135">AB$23*BG43</f>
        <v>47032.704905471503</v>
      </c>
      <c r="AC43" s="145">
        <f t="shared" si="135"/>
        <v>46671.755705654534</v>
      </c>
      <c r="AD43" s="145">
        <f t="shared" si="135"/>
        <v>46310.806505837565</v>
      </c>
      <c r="AE43" s="145">
        <f t="shared" si="135"/>
        <v>45949.857306020604</v>
      </c>
      <c r="AF43" s="145">
        <f t="shared" si="135"/>
        <v>45588.908106203649</v>
      </c>
      <c r="AG43" s="161">
        <f>B43/B$23</f>
        <v>0.8929624524847033</v>
      </c>
      <c r="AH43" s="161">
        <f t="shared" ref="AH43:BF43" si="136">C43/C$23</f>
        <v>0.88339816820283423</v>
      </c>
      <c r="AI43" s="161">
        <f t="shared" si="136"/>
        <v>0.87454443279042438</v>
      </c>
      <c r="AJ43" s="161">
        <f t="shared" si="136"/>
        <v>0.86632490015532682</v>
      </c>
      <c r="AK43" s="161">
        <f t="shared" si="136"/>
        <v>0.85867378352614709</v>
      </c>
      <c r="AL43" s="161">
        <f t="shared" si="136"/>
        <v>0.85153409090909082</v>
      </c>
      <c r="AM43" s="161">
        <f t="shared" si="136"/>
        <v>0.81906783672998074</v>
      </c>
      <c r="AN43" s="161">
        <f t="shared" si="136"/>
        <v>0.7855712944490082</v>
      </c>
      <c r="AO43" s="161">
        <f t="shared" si="136"/>
        <v>0.75099302034242077</v>
      </c>
      <c r="AP43" s="161">
        <f t="shared" si="136"/>
        <v>0.71527808784275648</v>
      </c>
      <c r="AQ43" s="161">
        <f t="shared" si="136"/>
        <v>0.67836778771983952</v>
      </c>
      <c r="AR43" s="161">
        <f t="shared" si="136"/>
        <v>0.67836778771983952</v>
      </c>
      <c r="AS43" s="161">
        <f t="shared" si="136"/>
        <v>0.67836778771983952</v>
      </c>
      <c r="AT43" s="161">
        <f t="shared" si="136"/>
        <v>0.67836778771983952</v>
      </c>
      <c r="AU43" s="161">
        <f t="shared" si="136"/>
        <v>0.67836778771983952</v>
      </c>
      <c r="AV43" s="161">
        <f t="shared" si="136"/>
        <v>0.67784879146640553</v>
      </c>
      <c r="AW43" s="161">
        <f t="shared" si="136"/>
        <v>0.6345597188213935</v>
      </c>
      <c r="AX43" s="161">
        <f t="shared" si="136"/>
        <v>0.5892525570819378</v>
      </c>
      <c r="AY43" s="161">
        <f t="shared" si="136"/>
        <v>0.54236801558346037</v>
      </c>
      <c r="AZ43" s="161">
        <f t="shared" si="136"/>
        <v>0.49382225967934529</v>
      </c>
      <c r="BA43" s="161">
        <f t="shared" si="136"/>
        <v>0.44352540671319102</v>
      </c>
      <c r="BB43" s="161">
        <f t="shared" si="136"/>
        <v>0.39070259155297116</v>
      </c>
      <c r="BC43" s="161">
        <f t="shared" si="136"/>
        <v>0.33623247281749413</v>
      </c>
      <c r="BD43" s="161">
        <f t="shared" si="136"/>
        <v>0.28003677206265476</v>
      </c>
      <c r="BE43" s="161">
        <f t="shared" si="136"/>
        <v>0.22203217138868439</v>
      </c>
      <c r="BF43" s="161">
        <f t="shared" si="136"/>
        <v>0.16212990126504168</v>
      </c>
      <c r="BG43" s="162">
        <v>0.16212990126504168</v>
      </c>
      <c r="BH43" s="162">
        <v>0.16212990126504168</v>
      </c>
      <c r="BI43" s="162">
        <v>0.16212990126504168</v>
      </c>
      <c r="BJ43" s="162">
        <v>0.16212990126504168</v>
      </c>
      <c r="BK43" s="162">
        <v>0.16212990126504168</v>
      </c>
    </row>
    <row r="44" spans="1:97" x14ac:dyDescent="0.35">
      <c r="A44" s="142"/>
      <c r="B44" s="129"/>
      <c r="C44" s="153"/>
      <c r="D44" s="153"/>
      <c r="E44" s="153"/>
      <c r="F44" s="153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53"/>
      <c r="BH44" s="153"/>
      <c r="BI44" s="153"/>
      <c r="BJ44" s="153"/>
      <c r="BK44" s="153"/>
    </row>
    <row r="45" spans="1:97" x14ac:dyDescent="0.35">
      <c r="A45" s="141" t="s">
        <v>84</v>
      </c>
      <c r="B45" s="134">
        <v>0</v>
      </c>
      <c r="C45" s="153">
        <f t="shared" si="132"/>
        <v>404.60955345383638</v>
      </c>
      <c r="D45" s="153">
        <f t="shared" si="132"/>
        <v>809.21910690767277</v>
      </c>
      <c r="E45" s="153">
        <f t="shared" si="132"/>
        <v>1213.8286603615093</v>
      </c>
      <c r="F45" s="153">
        <f t="shared" si="132"/>
        <v>1618.4382138153455</v>
      </c>
      <c r="G45" s="133">
        <f>G$23*AL45</f>
        <v>2023.047767269182</v>
      </c>
      <c r="H45" s="133">
        <f t="shared" ref="H45:P45" si="137">H$23*AM45</f>
        <v>2382.9773796849281</v>
      </c>
      <c r="I45" s="133">
        <f t="shared" si="137"/>
        <v>2728.0136784213109</v>
      </c>
      <c r="J45" s="133">
        <f t="shared" si="137"/>
        <v>3058.1566634783298</v>
      </c>
      <c r="K45" s="133">
        <f t="shared" si="137"/>
        <v>3373.4063348559857</v>
      </c>
      <c r="L45" s="133">
        <f t="shared" si="137"/>
        <v>3673.7626925542772</v>
      </c>
      <c r="M45" s="133">
        <f t="shared" si="137"/>
        <v>3628.4988585341907</v>
      </c>
      <c r="N45" s="133">
        <f t="shared" si="137"/>
        <v>3583.2350245141047</v>
      </c>
      <c r="O45" s="133">
        <f t="shared" si="137"/>
        <v>3537.9711904940186</v>
      </c>
      <c r="P45" s="133">
        <f t="shared" si="137"/>
        <v>3492.7073564739321</v>
      </c>
      <c r="Q45" s="133">
        <f t="shared" ref="Q45" si="138">Q$23*AV45</f>
        <v>3447.443522453847</v>
      </c>
      <c r="R45" s="133">
        <f t="shared" ref="R45" si="139">R$23*AW45</f>
        <v>3390.4101782111074</v>
      </c>
      <c r="S45" s="133">
        <f t="shared" ref="S45" si="140">S$23*AX45</f>
        <v>3333.3768339683675</v>
      </c>
      <c r="T45" s="133">
        <f t="shared" ref="T45" si="141">T$23*AY45</f>
        <v>3276.3434897256275</v>
      </c>
      <c r="U45" s="133">
        <f t="shared" ref="U45" si="142">U$23*AZ45</f>
        <v>3219.3101454828879</v>
      </c>
      <c r="V45" s="133">
        <f t="shared" ref="V45" si="143">V$23*BA45</f>
        <v>3162.2768012401475</v>
      </c>
      <c r="W45" s="133">
        <f t="shared" ref="W45" si="144">W$23*BB45</f>
        <v>3114.4594841352118</v>
      </c>
      <c r="X45" s="133">
        <f t="shared" ref="X45" si="145">X$23*BC45</f>
        <v>3066.6421670302761</v>
      </c>
      <c r="Y45" s="133">
        <f t="shared" ref="Y45" si="146">Y$23*BD45</f>
        <v>3018.8248499253405</v>
      </c>
      <c r="Z45" s="133">
        <f t="shared" ref="Z45" si="147">Z$23*BE45</f>
        <v>2971.0075328204048</v>
      </c>
      <c r="AA45" s="133">
        <f t="shared" ref="AA45" si="148">AA$23*BF45</f>
        <v>2923.1902157154686</v>
      </c>
      <c r="AB45" s="133">
        <f>AB$23*BG45</f>
        <v>2900.9272526839359</v>
      </c>
      <c r="AC45" s="133">
        <f t="shared" ref="AC45:AF45" si="149">AC$23*BH45</f>
        <v>2878.6642896524031</v>
      </c>
      <c r="AD45" s="133">
        <f t="shared" si="149"/>
        <v>2856.4013266208703</v>
      </c>
      <c r="AE45" s="133">
        <f t="shared" si="149"/>
        <v>2834.1383635893376</v>
      </c>
      <c r="AF45" s="133">
        <f t="shared" si="149"/>
        <v>2811.8754005578062</v>
      </c>
      <c r="AG45" s="161">
        <f>B45/B$23</f>
        <v>0</v>
      </c>
      <c r="AH45" s="161">
        <f t="shared" ref="AH45:AK45" si="150">C45/C$23</f>
        <v>1.154316019040833E-3</v>
      </c>
      <c r="AI45" s="161">
        <f t="shared" si="150"/>
        <v>2.2228757056519674E-3</v>
      </c>
      <c r="AJ45" s="161">
        <f t="shared" si="150"/>
        <v>3.2148932900422926E-3</v>
      </c>
      <c r="AK45" s="161">
        <f t="shared" si="150"/>
        <v>4.1383085951847967E-3</v>
      </c>
      <c r="AL45" s="133">
        <v>5.0000000000000001E-3</v>
      </c>
      <c r="AM45" s="133">
        <v>6.0000000000000001E-3</v>
      </c>
      <c r="AN45" s="133">
        <v>7.0000000000000001E-3</v>
      </c>
      <c r="AO45" s="133">
        <v>8.0000000000000002E-3</v>
      </c>
      <c r="AP45" s="133">
        <v>9.0000000000000011E-3</v>
      </c>
      <c r="AQ45" s="133">
        <v>1.0000000000000002E-2</v>
      </c>
      <c r="AR45" s="133">
        <v>1.0000000000000002E-2</v>
      </c>
      <c r="AS45" s="133">
        <v>1.0000000000000002E-2</v>
      </c>
      <c r="AT45" s="133">
        <v>1.0000000000000002E-2</v>
      </c>
      <c r="AU45" s="133">
        <v>1.0000000000000002E-2</v>
      </c>
      <c r="AV45" s="133">
        <v>1.0000000000000002E-2</v>
      </c>
      <c r="AW45" s="133">
        <v>1.0000000000000002E-2</v>
      </c>
      <c r="AX45" s="133">
        <v>1.0000000000000002E-2</v>
      </c>
      <c r="AY45" s="133">
        <v>1.0000000000000002E-2</v>
      </c>
      <c r="AZ45" s="133">
        <v>1.0000000000000002E-2</v>
      </c>
      <c r="BA45" s="133">
        <v>1.0000000000000002E-2</v>
      </c>
      <c r="BB45" s="133">
        <v>1.0000000000000002E-2</v>
      </c>
      <c r="BC45" s="133">
        <v>1.0000000000000002E-2</v>
      </c>
      <c r="BD45" s="133">
        <v>1.0000000000000002E-2</v>
      </c>
      <c r="BE45" s="133">
        <v>1.0000000000000002E-2</v>
      </c>
      <c r="BF45" s="133">
        <v>1.0000000000000002E-2</v>
      </c>
      <c r="BG45" s="133">
        <v>1.0000000000000002E-2</v>
      </c>
      <c r="BH45" s="133">
        <v>1.0000000000000002E-2</v>
      </c>
      <c r="BI45" s="133">
        <v>1.0000000000000002E-2</v>
      </c>
      <c r="BJ45" s="133">
        <v>1.0000000000000002E-2</v>
      </c>
      <c r="BK45" s="133">
        <v>1.0000000000000002E-2</v>
      </c>
    </row>
    <row r="46" spans="1:97" x14ac:dyDescent="0.35">
      <c r="A46" s="142" t="s">
        <v>113</v>
      </c>
      <c r="B46" s="129"/>
      <c r="C46" s="153"/>
      <c r="D46" s="153"/>
      <c r="E46" s="153"/>
      <c r="F46" s="153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43">
        <f>Q45/(Q25+Q45+Q35)</f>
        <v>4.3537835332679589E-2</v>
      </c>
      <c r="R46" s="143">
        <f t="shared" ref="R46:AA46" si="151">R45/(R25+R45+R35)</f>
        <v>4.3537835332679596E-2</v>
      </c>
      <c r="S46" s="143">
        <f t="shared" si="151"/>
        <v>4.3537835332679596E-2</v>
      </c>
      <c r="T46" s="143">
        <f t="shared" si="151"/>
        <v>4.3537835332679589E-2</v>
      </c>
      <c r="U46" s="143">
        <f t="shared" si="151"/>
        <v>4.3537835332679596E-2</v>
      </c>
      <c r="V46" s="143">
        <f t="shared" si="151"/>
        <v>4.3537835332679596E-2</v>
      </c>
      <c r="W46" s="143">
        <f t="shared" si="151"/>
        <v>4.3537835332679596E-2</v>
      </c>
      <c r="X46" s="143">
        <f t="shared" si="151"/>
        <v>4.3537835332679589E-2</v>
      </c>
      <c r="Y46" s="143">
        <f t="shared" si="151"/>
        <v>4.3537835332679596E-2</v>
      </c>
      <c r="Z46" s="143">
        <f t="shared" si="151"/>
        <v>4.3537835332679596E-2</v>
      </c>
      <c r="AA46" s="143">
        <f t="shared" si="151"/>
        <v>4.3537835332679596E-2</v>
      </c>
      <c r="AB46" s="143"/>
      <c r="AC46" s="143"/>
      <c r="AD46" s="143"/>
      <c r="AE46" s="143"/>
      <c r="AF46" s="143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128"/>
      <c r="BC46" s="128"/>
      <c r="BD46" s="128"/>
      <c r="BE46" s="128"/>
      <c r="BF46" s="128"/>
      <c r="BG46" s="153"/>
      <c r="BH46" s="153"/>
      <c r="BI46" s="153"/>
      <c r="BJ46" s="153"/>
      <c r="BK46" s="153"/>
    </row>
    <row r="47" spans="1:97" ht="15" thickBot="1" x14ac:dyDescent="0.4">
      <c r="A47" s="144" t="s">
        <v>112</v>
      </c>
      <c r="B47" s="156">
        <f>B45</f>
        <v>0</v>
      </c>
      <c r="C47" s="169">
        <f t="shared" si="132"/>
        <v>404.60955345383638</v>
      </c>
      <c r="D47" s="169">
        <f t="shared" si="132"/>
        <v>809.21910690767277</v>
      </c>
      <c r="E47" s="169">
        <f t="shared" si="132"/>
        <v>1213.8286603615093</v>
      </c>
      <c r="F47" s="169">
        <f t="shared" si="132"/>
        <v>1618.4382138153455</v>
      </c>
      <c r="G47" s="157">
        <f>G45</f>
        <v>2023.047767269182</v>
      </c>
      <c r="H47" s="157">
        <f t="shared" ref="H47:P47" si="152">H45</f>
        <v>2382.9773796849281</v>
      </c>
      <c r="I47" s="157">
        <f t="shared" si="152"/>
        <v>2728.0136784213109</v>
      </c>
      <c r="J47" s="157">
        <f t="shared" si="152"/>
        <v>3058.1566634783298</v>
      </c>
      <c r="K47" s="157">
        <f t="shared" si="152"/>
        <v>3373.4063348559857</v>
      </c>
      <c r="L47" s="157">
        <f t="shared" si="152"/>
        <v>3673.7626925542772</v>
      </c>
      <c r="M47" s="157">
        <f t="shared" si="152"/>
        <v>3628.4988585341907</v>
      </c>
      <c r="N47" s="157">
        <f t="shared" si="152"/>
        <v>3583.2350245141047</v>
      </c>
      <c r="O47" s="157">
        <f t="shared" si="152"/>
        <v>3537.9711904940186</v>
      </c>
      <c r="P47" s="157">
        <f t="shared" si="152"/>
        <v>3492.7073564739321</v>
      </c>
      <c r="Q47" s="145">
        <v>3444.8059999999987</v>
      </c>
      <c r="R47" s="145">
        <f>R45+R46*(R42+R32)</f>
        <v>4124.7146337962758</v>
      </c>
      <c r="S47" s="145">
        <f t="shared" ref="S47:AA47" si="153">S45+S46*(S42+S32)</f>
        <v>4801.9857451387043</v>
      </c>
      <c r="T47" s="145">
        <f t="shared" si="153"/>
        <v>5479.2568564811318</v>
      </c>
      <c r="U47" s="145">
        <f t="shared" si="153"/>
        <v>6156.5279678235638</v>
      </c>
      <c r="V47" s="145">
        <f t="shared" si="153"/>
        <v>6833.7990791659904</v>
      </c>
      <c r="W47" s="145">
        <f t="shared" si="153"/>
        <v>7543.8076318495378</v>
      </c>
      <c r="X47" s="145">
        <f t="shared" si="153"/>
        <v>8253.8161845330833</v>
      </c>
      <c r="Y47" s="145">
        <f t="shared" si="153"/>
        <v>8963.8247372166334</v>
      </c>
      <c r="Z47" s="145">
        <f t="shared" si="153"/>
        <v>9673.8332899001798</v>
      </c>
      <c r="AA47" s="145">
        <f t="shared" si="153"/>
        <v>10383.841842583723</v>
      </c>
      <c r="AB47" s="157">
        <f>AB$23*BG47</f>
        <v>10304.758693692524</v>
      </c>
      <c r="AC47" s="157">
        <f t="shared" ref="AC47:AF47" si="154">AC$23*BH47</f>
        <v>10225.675544801325</v>
      </c>
      <c r="AD47" s="157">
        <f t="shared" si="154"/>
        <v>10146.592395910124</v>
      </c>
      <c r="AE47" s="157">
        <f t="shared" si="154"/>
        <v>10067.509247018925</v>
      </c>
      <c r="AF47" s="157">
        <f t="shared" si="154"/>
        <v>9988.4260981277293</v>
      </c>
      <c r="AG47" s="157">
        <f>B47/B$23</f>
        <v>0</v>
      </c>
      <c r="AH47" s="157">
        <f t="shared" ref="AH47:BF47" si="155">C47/C$23</f>
        <v>1.154316019040833E-3</v>
      </c>
      <c r="AI47" s="157">
        <f t="shared" si="155"/>
        <v>2.2228757056519674E-3</v>
      </c>
      <c r="AJ47" s="157">
        <f t="shared" si="155"/>
        <v>3.2148932900422926E-3</v>
      </c>
      <c r="AK47" s="157">
        <f t="shared" si="155"/>
        <v>4.1383085951847967E-3</v>
      </c>
      <c r="AL47" s="157">
        <f t="shared" si="155"/>
        <v>5.0000000000000001E-3</v>
      </c>
      <c r="AM47" s="157">
        <f t="shared" si="155"/>
        <v>6.0000000000000001E-3</v>
      </c>
      <c r="AN47" s="157">
        <f t="shared" si="155"/>
        <v>7.000000000000001E-3</v>
      </c>
      <c r="AO47" s="157">
        <f t="shared" si="155"/>
        <v>8.0000000000000002E-3</v>
      </c>
      <c r="AP47" s="157">
        <f t="shared" si="155"/>
        <v>9.0000000000000011E-3</v>
      </c>
      <c r="AQ47" s="157">
        <f t="shared" si="155"/>
        <v>1.0000000000000002E-2</v>
      </c>
      <c r="AR47" s="157">
        <f t="shared" si="155"/>
        <v>1.0000000000000002E-2</v>
      </c>
      <c r="AS47" s="157">
        <f t="shared" si="155"/>
        <v>1.0000000000000002E-2</v>
      </c>
      <c r="AT47" s="157">
        <f t="shared" si="155"/>
        <v>1.0000000000000002E-2</v>
      </c>
      <c r="AU47" s="157">
        <f t="shared" si="155"/>
        <v>1.0000000000000002E-2</v>
      </c>
      <c r="AV47" s="157">
        <f t="shared" si="155"/>
        <v>9.9923493381786563E-3</v>
      </c>
      <c r="AW47" s="157">
        <f t="shared" si="155"/>
        <v>1.2165827781854445E-2</v>
      </c>
      <c r="AX47" s="157">
        <f t="shared" si="155"/>
        <v>1.4405769237383121E-2</v>
      </c>
      <c r="AY47" s="157">
        <f t="shared" si="155"/>
        <v>1.6723694794711481E-2</v>
      </c>
      <c r="AZ47" s="157">
        <f t="shared" si="155"/>
        <v>1.9123749156203473E-2</v>
      </c>
      <c r="BA47" s="157">
        <f t="shared" si="155"/>
        <v>2.1610376031870413E-2</v>
      </c>
      <c r="BB47" s="157">
        <f t="shared" si="155"/>
        <v>2.4221883990711856E-2</v>
      </c>
      <c r="BC47" s="157">
        <f t="shared" si="155"/>
        <v>2.6914833015963018E-2</v>
      </c>
      <c r="BD47" s="157">
        <f t="shared" si="155"/>
        <v>2.9693093116807762E-2</v>
      </c>
      <c r="BE47" s="157">
        <f t="shared" si="155"/>
        <v>3.2560783448154787E-2</v>
      </c>
      <c r="BF47" s="157">
        <f t="shared" si="155"/>
        <v>3.5522292688169171E-2</v>
      </c>
      <c r="BG47" s="167">
        <v>3.5522292688169171E-2</v>
      </c>
      <c r="BH47" s="167">
        <v>3.5522292688169171E-2</v>
      </c>
      <c r="BI47" s="167">
        <v>3.5522292688169171E-2</v>
      </c>
      <c r="BJ47" s="167">
        <v>3.5522292688169171E-2</v>
      </c>
      <c r="BK47" s="167">
        <v>3.5522292688169171E-2</v>
      </c>
    </row>
    <row r="48" spans="1:97" x14ac:dyDescent="0.35">
      <c r="A48" s="146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147"/>
      <c r="BA48" s="147"/>
      <c r="BB48" s="147"/>
      <c r="BC48" s="147"/>
      <c r="BD48" s="147"/>
      <c r="BE48" s="147"/>
      <c r="BF48" s="148"/>
      <c r="BG48" s="148"/>
      <c r="BH48" s="148"/>
      <c r="BI48" s="148"/>
      <c r="BJ48" s="148"/>
      <c r="BK48" s="148"/>
    </row>
    <row r="49" spans="1:63" x14ac:dyDescent="0.35">
      <c r="A49" s="137" t="s">
        <v>31</v>
      </c>
      <c r="B49" s="132">
        <f>'Initial demand info'!F30</f>
        <v>192564.53910000002</v>
      </c>
      <c r="C49" s="128">
        <f t="shared" ref="C49:F54" si="156">B49+($G49-$B49)/5</f>
        <v>194986.62032385284</v>
      </c>
      <c r="D49" s="128">
        <f t="shared" si="156"/>
        <v>197408.70154770566</v>
      </c>
      <c r="E49" s="128">
        <f t="shared" si="156"/>
        <v>199830.78277155847</v>
      </c>
      <c r="F49" s="128">
        <f t="shared" si="156"/>
        <v>202252.86399541129</v>
      </c>
      <c r="G49" s="160">
        <f>'Initial demand info'!K36</f>
        <v>204674.94521926413</v>
      </c>
      <c r="H49" s="128">
        <f>G49+($L49-$G49)/5</f>
        <v>202722.27160703222</v>
      </c>
      <c r="I49" s="128">
        <f t="shared" ref="I49:K49" si="157">H49+($L49-$G49)/5</f>
        <v>200769.59799480031</v>
      </c>
      <c r="J49" s="128">
        <f t="shared" si="157"/>
        <v>198816.9243825684</v>
      </c>
      <c r="K49" s="128">
        <f t="shared" si="157"/>
        <v>196864.25077033648</v>
      </c>
      <c r="L49" s="127">
        <f>'Initial demand info'!L36</f>
        <v>194911.57715810454</v>
      </c>
      <c r="M49" s="128">
        <f>L49+($Q49-$L49)/5</f>
        <v>191413.98667286028</v>
      </c>
      <c r="N49" s="128">
        <f t="shared" ref="N49:P49" si="158">M49+($Q49-$L49)/5</f>
        <v>187916.39618761602</v>
      </c>
      <c r="O49" s="128">
        <f t="shared" si="158"/>
        <v>184418.80570237176</v>
      </c>
      <c r="P49" s="128">
        <f t="shared" si="158"/>
        <v>180921.21521712749</v>
      </c>
      <c r="Q49" s="127">
        <f>'Initial demand info'!M36</f>
        <v>177423.62473188323</v>
      </c>
      <c r="R49" s="128">
        <f>Q49+($V49-$Q49)/5</f>
        <v>176278.29503247267</v>
      </c>
      <c r="S49" s="128">
        <f t="shared" ref="S49:U49" si="159">R49+($V49-$Q49)/5</f>
        <v>175132.96533306211</v>
      </c>
      <c r="T49" s="128">
        <f t="shared" si="159"/>
        <v>173987.63563365155</v>
      </c>
      <c r="U49" s="128">
        <f t="shared" si="159"/>
        <v>172842.30593424098</v>
      </c>
      <c r="V49" s="127">
        <f>'Initial demand info'!N36</f>
        <v>171696.97623483045</v>
      </c>
      <c r="W49" s="128">
        <f>V49+($AA49-$V49)/5</f>
        <v>171014.24875712502</v>
      </c>
      <c r="X49" s="128">
        <f t="shared" ref="X49:Z49" si="160">W49+($AA49-$V49)/5</f>
        <v>170331.5212794196</v>
      </c>
      <c r="Y49" s="128">
        <f t="shared" si="160"/>
        <v>169648.79380171417</v>
      </c>
      <c r="Z49" s="128">
        <f t="shared" si="160"/>
        <v>168966.06632400875</v>
      </c>
      <c r="AA49" s="127">
        <f>'Initial demand info'!O36</f>
        <v>168283.33884630326</v>
      </c>
      <c r="AB49" s="128">
        <f>AA49+($AF49-$AA49)/5</f>
        <v>167296.11256623358</v>
      </c>
      <c r="AC49" s="128">
        <f t="shared" ref="AC49:AE49" si="161">AB49+($AF49-$AA49)/5</f>
        <v>166308.88628616391</v>
      </c>
      <c r="AD49" s="128">
        <f t="shared" si="161"/>
        <v>165321.66000609423</v>
      </c>
      <c r="AE49" s="128">
        <f t="shared" si="161"/>
        <v>164334.43372602455</v>
      </c>
      <c r="AF49" s="127">
        <f>'Initial demand info'!P36</f>
        <v>163347.2074459549</v>
      </c>
      <c r="AG49" s="133">
        <v>1</v>
      </c>
      <c r="AH49" s="133">
        <v>1</v>
      </c>
      <c r="AI49" s="133">
        <v>1</v>
      </c>
      <c r="AJ49" s="133">
        <v>1</v>
      </c>
      <c r="AK49" s="133">
        <v>1</v>
      </c>
      <c r="AL49" s="133">
        <v>0.99999999999999978</v>
      </c>
      <c r="AM49" s="133">
        <v>0.99999999999999967</v>
      </c>
      <c r="AN49" s="133">
        <v>0.99999999999999978</v>
      </c>
      <c r="AO49" s="133">
        <v>0.99999999999999967</v>
      </c>
      <c r="AP49" s="133">
        <v>0.99999999999999967</v>
      </c>
      <c r="AQ49" s="133">
        <v>1</v>
      </c>
      <c r="AR49" s="133">
        <v>1</v>
      </c>
      <c r="AS49" s="133">
        <v>1</v>
      </c>
      <c r="AT49" s="133">
        <v>1</v>
      </c>
      <c r="AU49" s="133">
        <v>1</v>
      </c>
      <c r="AV49" s="133">
        <v>1</v>
      </c>
      <c r="AW49" s="133">
        <v>1</v>
      </c>
      <c r="AX49" s="133">
        <v>1</v>
      </c>
      <c r="AY49" s="133">
        <v>1</v>
      </c>
      <c r="AZ49" s="133">
        <v>1</v>
      </c>
      <c r="BA49" s="133">
        <v>1</v>
      </c>
      <c r="BB49" s="133">
        <v>1</v>
      </c>
      <c r="BC49" s="133">
        <v>1</v>
      </c>
      <c r="BD49" s="133">
        <v>1</v>
      </c>
      <c r="BE49" s="133">
        <v>1</v>
      </c>
      <c r="BF49" s="135">
        <v>1</v>
      </c>
      <c r="BG49" s="135">
        <v>1</v>
      </c>
      <c r="BH49" s="135">
        <v>1</v>
      </c>
      <c r="BI49" s="135">
        <v>1</v>
      </c>
      <c r="BJ49" s="135">
        <v>1</v>
      </c>
      <c r="BK49" s="135">
        <v>1</v>
      </c>
    </row>
    <row r="50" spans="1:63" x14ac:dyDescent="0.35">
      <c r="A50" s="136" t="s">
        <v>13</v>
      </c>
      <c r="B50" s="127">
        <f>'Initial demand info'!F31</f>
        <v>30117.036370000005</v>
      </c>
      <c r="C50" s="128">
        <f t="shared" si="156"/>
        <v>26376.277834467499</v>
      </c>
      <c r="D50" s="128">
        <f t="shared" si="156"/>
        <v>22635.519298934993</v>
      </c>
      <c r="E50" s="128">
        <f t="shared" si="156"/>
        <v>18894.760763402486</v>
      </c>
      <c r="F50" s="128">
        <f t="shared" si="156"/>
        <v>15154.002227869982</v>
      </c>
      <c r="G50" s="133">
        <f>G$49*AL50</f>
        <v>11413.243692337483</v>
      </c>
      <c r="H50" s="133">
        <f t="shared" ref="H50:W54" si="162">H$49*AM50</f>
        <v>13087.029768662276</v>
      </c>
      <c r="I50" s="133">
        <f t="shared" si="162"/>
        <v>14797.069410793827</v>
      </c>
      <c r="J50" s="133">
        <f t="shared" si="162"/>
        <v>16545.581449970425</v>
      </c>
      <c r="K50" s="133">
        <f t="shared" si="162"/>
        <v>18334.969554142561</v>
      </c>
      <c r="L50" s="133">
        <f t="shared" si="162"/>
        <v>20167.841884296722</v>
      </c>
      <c r="M50" s="133">
        <f t="shared" si="162"/>
        <v>19805.940077790849</v>
      </c>
      <c r="N50" s="133">
        <f t="shared" si="162"/>
        <v>19444.038271284975</v>
      </c>
      <c r="O50" s="133">
        <f t="shared" si="162"/>
        <v>19082.136464779102</v>
      </c>
      <c r="P50" s="133">
        <f t="shared" si="162"/>
        <v>18720.234658273228</v>
      </c>
      <c r="Q50" s="133">
        <f t="shared" si="162"/>
        <v>18358.332851767354</v>
      </c>
      <c r="R50" s="133">
        <f t="shared" si="162"/>
        <v>18239.823584027119</v>
      </c>
      <c r="S50" s="133">
        <f t="shared" si="162"/>
        <v>18121.314316286884</v>
      </c>
      <c r="T50" s="133">
        <f t="shared" si="162"/>
        <v>18002.805048546648</v>
      </c>
      <c r="U50" s="133">
        <f t="shared" si="162"/>
        <v>17884.295780806417</v>
      </c>
      <c r="V50" s="133">
        <f t="shared" si="162"/>
        <v>17765.786513066181</v>
      </c>
      <c r="W50" s="133">
        <f t="shared" si="162"/>
        <v>17695.143506523484</v>
      </c>
      <c r="X50" s="133">
        <f t="shared" ref="X50:AF54" si="163">X$49*BC50</f>
        <v>17624.500499980786</v>
      </c>
      <c r="Y50" s="133">
        <f t="shared" si="163"/>
        <v>17553.857493438085</v>
      </c>
      <c r="Z50" s="133">
        <f t="shared" si="163"/>
        <v>17483.214486895387</v>
      </c>
      <c r="AA50" s="133">
        <f t="shared" si="163"/>
        <v>17412.571480352683</v>
      </c>
      <c r="AB50" s="133">
        <f t="shared" si="163"/>
        <v>17310.421450011912</v>
      </c>
      <c r="AC50" s="133">
        <f t="shared" si="163"/>
        <v>17208.271419671142</v>
      </c>
      <c r="AD50" s="133">
        <f t="shared" si="163"/>
        <v>17106.121389330372</v>
      </c>
      <c r="AE50" s="133">
        <f t="shared" si="163"/>
        <v>17003.971358989602</v>
      </c>
      <c r="AF50" s="133">
        <f t="shared" si="163"/>
        <v>16901.821328648835</v>
      </c>
      <c r="AG50" s="161">
        <f>B50/B$49</f>
        <v>0.15639970116387852</v>
      </c>
      <c r="AH50" s="161">
        <f t="shared" ref="AH50:AK54" si="164">C50/C$49</f>
        <v>0.13527224478612532</v>
      </c>
      <c r="AI50" s="161">
        <f t="shared" si="164"/>
        <v>0.11466322974352226</v>
      </c>
      <c r="AJ50" s="161">
        <f t="shared" si="164"/>
        <v>9.4553804480676545E-2</v>
      </c>
      <c r="AK50" s="161">
        <f t="shared" si="164"/>
        <v>7.4926020470166471E-2</v>
      </c>
      <c r="AL50" s="128">
        <v>5.5762778781304694E-2</v>
      </c>
      <c r="AM50" s="128">
        <v>6.455644791723171E-2</v>
      </c>
      <c r="AN50" s="128">
        <v>7.3701743483976359E-2</v>
      </c>
      <c r="AO50" s="128">
        <v>8.3220186115207234E-2</v>
      </c>
      <c r="AP50" s="128">
        <v>9.3135089191649589E-2</v>
      </c>
      <c r="AQ50" s="128">
        <v>0.10347174948944858</v>
      </c>
      <c r="AR50" s="128">
        <v>0.10347174948944858</v>
      </c>
      <c r="AS50" s="128">
        <v>0.10347174948944858</v>
      </c>
      <c r="AT50" s="128">
        <v>0.10347174948944858</v>
      </c>
      <c r="AU50" s="128">
        <v>0.10347174948944858</v>
      </c>
      <c r="AV50" s="128">
        <v>0.10347174948944858</v>
      </c>
      <c r="AW50" s="128">
        <v>0.10347174948944858</v>
      </c>
      <c r="AX50" s="128">
        <v>0.10347174948944858</v>
      </c>
      <c r="AY50" s="128">
        <v>0.10347174948944858</v>
      </c>
      <c r="AZ50" s="128">
        <v>0.10347174948944858</v>
      </c>
      <c r="BA50" s="128">
        <v>0.10347174948944858</v>
      </c>
      <c r="BB50" s="128">
        <v>0.10347174948944858</v>
      </c>
      <c r="BC50" s="128">
        <v>0.10347174948944858</v>
      </c>
      <c r="BD50" s="128">
        <v>0.10347174948944858</v>
      </c>
      <c r="BE50" s="128">
        <v>0.10347174948944858</v>
      </c>
      <c r="BF50" s="130">
        <v>0.10347174948944858</v>
      </c>
      <c r="BG50" s="130">
        <v>0.10347174948944858</v>
      </c>
      <c r="BH50" s="130">
        <v>0.10347174948944858</v>
      </c>
      <c r="BI50" s="130">
        <v>0.10347174948944858</v>
      </c>
      <c r="BJ50" s="130">
        <v>0.10347174948944858</v>
      </c>
      <c r="BK50" s="130">
        <v>0.10347174948944858</v>
      </c>
    </row>
    <row r="51" spans="1:63" x14ac:dyDescent="0.35">
      <c r="A51" s="131" t="s">
        <v>12</v>
      </c>
      <c r="B51" s="132">
        <f>'Initial demand info'!F32</f>
        <v>3405.97343</v>
      </c>
      <c r="C51" s="128">
        <f t="shared" si="156"/>
        <v>3876.859066086673</v>
      </c>
      <c r="D51" s="128">
        <f t="shared" si="156"/>
        <v>4347.744702173346</v>
      </c>
      <c r="E51" s="128">
        <f t="shared" si="156"/>
        <v>4818.630338260019</v>
      </c>
      <c r="F51" s="128">
        <f t="shared" si="156"/>
        <v>5289.515974346692</v>
      </c>
      <c r="G51" s="133">
        <f t="shared" ref="G51:G54" si="165">G$49*AL51</f>
        <v>5760.401610433365</v>
      </c>
      <c r="H51" s="133">
        <f t="shared" si="162"/>
        <v>5569.5213389235823</v>
      </c>
      <c r="I51" s="133">
        <f t="shared" si="162"/>
        <v>5375.8768315488105</v>
      </c>
      <c r="J51" s="133">
        <f t="shared" si="162"/>
        <v>5179.2989084573355</v>
      </c>
      <c r="K51" s="133">
        <f t="shared" si="162"/>
        <v>4979.6042965004781</v>
      </c>
      <c r="L51" s="133">
        <f t="shared" si="162"/>
        <v>4776.5941304913222</v>
      </c>
      <c r="M51" s="133">
        <f t="shared" si="162"/>
        <v>4690.8805447399318</v>
      </c>
      <c r="N51" s="133">
        <f t="shared" si="162"/>
        <v>4605.1669589885405</v>
      </c>
      <c r="O51" s="133">
        <f t="shared" si="162"/>
        <v>4519.4533732371501</v>
      </c>
      <c r="P51" s="133">
        <f t="shared" si="162"/>
        <v>4433.7397874857588</v>
      </c>
      <c r="Q51" s="133">
        <f t="shared" si="162"/>
        <v>4348.0262017343675</v>
      </c>
      <c r="R51" s="133">
        <f t="shared" si="162"/>
        <v>4319.9582172695755</v>
      </c>
      <c r="S51" s="133">
        <f t="shared" si="162"/>
        <v>4291.8902328047825</v>
      </c>
      <c r="T51" s="133">
        <f t="shared" si="162"/>
        <v>4263.8222483399904</v>
      </c>
      <c r="U51" s="133">
        <f t="shared" si="162"/>
        <v>4235.7542638751984</v>
      </c>
      <c r="V51" s="133">
        <f t="shared" si="162"/>
        <v>4207.6862794104063</v>
      </c>
      <c r="W51" s="133">
        <f t="shared" si="162"/>
        <v>4190.9550410187139</v>
      </c>
      <c r="X51" s="133">
        <f t="shared" si="163"/>
        <v>4174.2238026270225</v>
      </c>
      <c r="Y51" s="133">
        <f t="shared" si="163"/>
        <v>4157.492564235331</v>
      </c>
      <c r="Z51" s="133">
        <f t="shared" si="163"/>
        <v>4140.7613258436386</v>
      </c>
      <c r="AA51" s="133">
        <f t="shared" si="163"/>
        <v>4124.0300874519453</v>
      </c>
      <c r="AB51" s="133">
        <f t="shared" si="163"/>
        <v>4099.8366592133425</v>
      </c>
      <c r="AC51" s="133">
        <f t="shared" si="163"/>
        <v>4075.6432309747388</v>
      </c>
      <c r="AD51" s="133">
        <f t="shared" si="163"/>
        <v>4051.4498027361356</v>
      </c>
      <c r="AE51" s="133">
        <f t="shared" si="163"/>
        <v>4027.2563744975323</v>
      </c>
      <c r="AF51" s="133">
        <f t="shared" si="163"/>
        <v>4003.0629462589295</v>
      </c>
      <c r="AG51" s="161">
        <f t="shared" ref="AG51:AG54" si="166">B51/B$49</f>
        <v>1.7687438434504578E-2</v>
      </c>
      <c r="AH51" s="161">
        <f t="shared" si="164"/>
        <v>1.9882692769624944E-2</v>
      </c>
      <c r="AI51" s="161">
        <f t="shared" si="164"/>
        <v>2.2024078311070158E-2</v>
      </c>
      <c r="AJ51" s="161">
        <f t="shared" si="164"/>
        <v>2.4113553835039301E-2</v>
      </c>
      <c r="AK51" s="161">
        <f t="shared" si="164"/>
        <v>2.6152984288354504E-2</v>
      </c>
      <c r="AL51" s="133">
        <v>2.8144146340248744E-2</v>
      </c>
      <c r="AM51" s="133">
        <v>2.7473652967542918E-2</v>
      </c>
      <c r="AN51" s="133">
        <v>2.6776349035116557E-2</v>
      </c>
      <c r="AO51" s="133">
        <v>2.6050593653139918E-2</v>
      </c>
      <c r="AP51" s="133">
        <v>2.5294609239692414E-2</v>
      </c>
      <c r="AQ51" s="133">
        <v>2.4506466984343053E-2</v>
      </c>
      <c r="AR51" s="133">
        <v>2.4506466984343053E-2</v>
      </c>
      <c r="AS51" s="133">
        <v>2.4506466984343053E-2</v>
      </c>
      <c r="AT51" s="133">
        <v>2.4506466984343053E-2</v>
      </c>
      <c r="AU51" s="133">
        <v>2.4506466984343053E-2</v>
      </c>
      <c r="AV51" s="133">
        <v>2.4506466984343053E-2</v>
      </c>
      <c r="AW51" s="133">
        <v>2.4506466984343053E-2</v>
      </c>
      <c r="AX51" s="133">
        <v>2.4506466984343053E-2</v>
      </c>
      <c r="AY51" s="133">
        <v>2.4506466984343053E-2</v>
      </c>
      <c r="AZ51" s="133">
        <v>2.4506466984343053E-2</v>
      </c>
      <c r="BA51" s="133">
        <v>2.4506466984343053E-2</v>
      </c>
      <c r="BB51" s="133">
        <v>2.4506466984343053E-2</v>
      </c>
      <c r="BC51" s="133">
        <v>2.4506466984343053E-2</v>
      </c>
      <c r="BD51" s="133">
        <v>2.4506466984343053E-2</v>
      </c>
      <c r="BE51" s="133">
        <v>2.4506466984343053E-2</v>
      </c>
      <c r="BF51" s="135">
        <v>2.4506466984343053E-2</v>
      </c>
      <c r="BG51" s="135">
        <v>2.4506466984343053E-2</v>
      </c>
      <c r="BH51" s="135">
        <v>2.4506466984343053E-2</v>
      </c>
      <c r="BI51" s="135">
        <v>2.4506466984343053E-2</v>
      </c>
      <c r="BJ51" s="135">
        <v>2.4506466984343053E-2</v>
      </c>
      <c r="BK51" s="135">
        <v>2.4506466984343053E-2</v>
      </c>
    </row>
    <row r="52" spans="1:63" x14ac:dyDescent="0.35">
      <c r="A52" s="136" t="s">
        <v>11</v>
      </c>
      <c r="B52" s="127">
        <f>'Initial demand info'!F33</f>
        <v>75259.253530000002</v>
      </c>
      <c r="C52" s="128">
        <f t="shared" si="156"/>
        <v>80209.612903676651</v>
      </c>
      <c r="D52" s="128">
        <f t="shared" si="156"/>
        <v>85159.972277353299</v>
      </c>
      <c r="E52" s="128">
        <f t="shared" si="156"/>
        <v>90110.331651029948</v>
      </c>
      <c r="F52" s="128">
        <f t="shared" si="156"/>
        <v>95060.691024706597</v>
      </c>
      <c r="G52" s="133">
        <f t="shared" si="165"/>
        <v>100011.05039838326</v>
      </c>
      <c r="H52" s="133">
        <f t="shared" si="162"/>
        <v>99850.444135038619</v>
      </c>
      <c r="I52" s="133">
        <f t="shared" si="162"/>
        <v>99705.975717943118</v>
      </c>
      <c r="J52" s="133">
        <f t="shared" si="162"/>
        <v>99578.632833592681</v>
      </c>
      <c r="K52" s="133">
        <f t="shared" si="162"/>
        <v>99469.485446360617</v>
      </c>
      <c r="L52" s="133">
        <f t="shared" si="162"/>
        <v>99379.694548277956</v>
      </c>
      <c r="M52" s="133">
        <f t="shared" si="162"/>
        <v>97596.375778061512</v>
      </c>
      <c r="N52" s="133">
        <f t="shared" si="162"/>
        <v>95813.057007845069</v>
      </c>
      <c r="O52" s="133">
        <f t="shared" si="162"/>
        <v>94029.738237628626</v>
      </c>
      <c r="P52" s="133">
        <f t="shared" si="162"/>
        <v>92246.419467412183</v>
      </c>
      <c r="Q52" s="133">
        <f t="shared" si="162"/>
        <v>90463.100697195739</v>
      </c>
      <c r="R52" s="133">
        <f t="shared" si="162"/>
        <v>89879.130687081037</v>
      </c>
      <c r="S52" s="133">
        <f t="shared" si="162"/>
        <v>89295.160676966319</v>
      </c>
      <c r="T52" s="133">
        <f t="shared" si="162"/>
        <v>88711.190666851602</v>
      </c>
      <c r="U52" s="133">
        <f t="shared" si="162"/>
        <v>88127.220656736899</v>
      </c>
      <c r="V52" s="133">
        <f t="shared" si="162"/>
        <v>87543.250646622197</v>
      </c>
      <c r="W52" s="133">
        <f t="shared" si="162"/>
        <v>87195.147936750611</v>
      </c>
      <c r="X52" s="133">
        <f t="shared" si="163"/>
        <v>86847.045226879025</v>
      </c>
      <c r="Y52" s="133">
        <f t="shared" si="163"/>
        <v>86498.942517007439</v>
      </c>
      <c r="Z52" s="133">
        <f t="shared" si="163"/>
        <v>86150.839807135839</v>
      </c>
      <c r="AA52" s="133">
        <f t="shared" si="163"/>
        <v>85802.737097264224</v>
      </c>
      <c r="AB52" s="133">
        <f t="shared" si="163"/>
        <v>85299.379381966617</v>
      </c>
      <c r="AC52" s="133">
        <f t="shared" si="163"/>
        <v>84796.02166666901</v>
      </c>
      <c r="AD52" s="133">
        <f t="shared" si="163"/>
        <v>84292.663951371404</v>
      </c>
      <c r="AE52" s="133">
        <f t="shared" si="163"/>
        <v>83789.306236073782</v>
      </c>
      <c r="AF52" s="133">
        <f t="shared" si="163"/>
        <v>83285.94852077619</v>
      </c>
      <c r="AG52" s="161">
        <f t="shared" si="166"/>
        <v>0.39082612967965707</v>
      </c>
      <c r="AH52" s="161">
        <f t="shared" si="164"/>
        <v>0.41135957313612947</v>
      </c>
      <c r="AI52" s="161">
        <f t="shared" si="164"/>
        <v>0.43138915159103863</v>
      </c>
      <c r="AJ52" s="161">
        <f t="shared" si="164"/>
        <v>0.45093318657537268</v>
      </c>
      <c r="AK52" s="161">
        <f t="shared" si="164"/>
        <v>0.47000912198139916</v>
      </c>
      <c r="AL52" s="128">
        <v>0.48863357599164592</v>
      </c>
      <c r="AM52" s="128">
        <v>0.49254797385357885</v>
      </c>
      <c r="AN52" s="128">
        <v>0.49661889406445581</v>
      </c>
      <c r="AO52" s="128">
        <v>0.5008559162799493</v>
      </c>
      <c r="AP52" s="128">
        <v>0.50526941817589099</v>
      </c>
      <c r="AQ52" s="128">
        <v>0.50987066031313821</v>
      </c>
      <c r="AR52" s="128">
        <v>0.50987066031313821</v>
      </c>
      <c r="AS52" s="128">
        <v>0.50987066031313821</v>
      </c>
      <c r="AT52" s="128">
        <v>0.50987066031313821</v>
      </c>
      <c r="AU52" s="128">
        <v>0.50987066031313821</v>
      </c>
      <c r="AV52" s="128">
        <v>0.50987066031313821</v>
      </c>
      <c r="AW52" s="128">
        <v>0.50987066031313821</v>
      </c>
      <c r="AX52" s="128">
        <v>0.50987066031313821</v>
      </c>
      <c r="AY52" s="128">
        <v>0.50987066031313821</v>
      </c>
      <c r="AZ52" s="128">
        <v>0.50987066031313821</v>
      </c>
      <c r="BA52" s="128">
        <v>0.50987066031313821</v>
      </c>
      <c r="BB52" s="128">
        <v>0.50987066031313821</v>
      </c>
      <c r="BC52" s="128">
        <v>0.50987066031313821</v>
      </c>
      <c r="BD52" s="128">
        <v>0.50987066031313821</v>
      </c>
      <c r="BE52" s="128">
        <v>0.50987066031313821</v>
      </c>
      <c r="BF52" s="130">
        <v>0.50987066031313821</v>
      </c>
      <c r="BG52" s="130">
        <v>0.50987066031313821</v>
      </c>
      <c r="BH52" s="130">
        <v>0.50987066031313821</v>
      </c>
      <c r="BI52" s="130">
        <v>0.50987066031313821</v>
      </c>
      <c r="BJ52" s="130">
        <v>0.50987066031313821</v>
      </c>
      <c r="BK52" s="130">
        <v>0.50987066031313821</v>
      </c>
    </row>
    <row r="53" spans="1:63" x14ac:dyDescent="0.35">
      <c r="A53" s="131" t="s">
        <v>9</v>
      </c>
      <c r="B53" s="132">
        <f>'Initial demand info'!F34</f>
        <v>77807.363270000002</v>
      </c>
      <c r="C53" s="128">
        <f t="shared" si="156"/>
        <v>74618.838010024381</v>
      </c>
      <c r="D53" s="128">
        <f t="shared" si="156"/>
        <v>71430.312750048761</v>
      </c>
      <c r="E53" s="128">
        <f t="shared" si="156"/>
        <v>68241.78749007314</v>
      </c>
      <c r="F53" s="128">
        <f t="shared" si="156"/>
        <v>65053.26223009752</v>
      </c>
      <c r="G53" s="133">
        <f t="shared" si="165"/>
        <v>61864.7369701219</v>
      </c>
      <c r="H53" s="133">
        <f t="shared" si="162"/>
        <v>58908.521534965257</v>
      </c>
      <c r="I53" s="133">
        <f t="shared" si="162"/>
        <v>55904.18954905992</v>
      </c>
      <c r="J53" s="133">
        <f t="shared" si="162"/>
        <v>52848.796129509428</v>
      </c>
      <c r="K53" s="133">
        <f t="shared" si="162"/>
        <v>49739.1510739613</v>
      </c>
      <c r="L53" s="133">
        <f t="shared" si="162"/>
        <v>46571.792772290464</v>
      </c>
      <c r="M53" s="133">
        <f t="shared" si="162"/>
        <v>45736.085311214403</v>
      </c>
      <c r="N53" s="133">
        <f t="shared" si="162"/>
        <v>44900.377850138342</v>
      </c>
      <c r="O53" s="133">
        <f t="shared" si="162"/>
        <v>44064.670389062281</v>
      </c>
      <c r="P53" s="133">
        <f t="shared" si="162"/>
        <v>43228.96292798622</v>
      </c>
      <c r="Q53" s="133">
        <f t="shared" si="162"/>
        <v>42393.255466910152</v>
      </c>
      <c r="R53" s="133">
        <f t="shared" si="162"/>
        <v>42119.592618378425</v>
      </c>
      <c r="S53" s="133">
        <f t="shared" si="162"/>
        <v>41845.929769846698</v>
      </c>
      <c r="T53" s="133">
        <f t="shared" si="162"/>
        <v>41572.266921314971</v>
      </c>
      <c r="U53" s="133">
        <f t="shared" si="162"/>
        <v>41298.604072783244</v>
      </c>
      <c r="V53" s="133">
        <f t="shared" si="162"/>
        <v>41024.941224251525</v>
      </c>
      <c r="W53" s="133">
        <f t="shared" si="162"/>
        <v>40861.811649932526</v>
      </c>
      <c r="X53" s="133">
        <f t="shared" si="163"/>
        <v>40698.682075613535</v>
      </c>
      <c r="Y53" s="133">
        <f t="shared" si="163"/>
        <v>40535.552501294536</v>
      </c>
      <c r="Z53" s="133">
        <f t="shared" si="163"/>
        <v>40372.422926975545</v>
      </c>
      <c r="AA53" s="133">
        <f t="shared" si="163"/>
        <v>40209.293352656532</v>
      </c>
      <c r="AB53" s="133">
        <f t="shared" si="163"/>
        <v>39973.407427330152</v>
      </c>
      <c r="AC53" s="133">
        <f t="shared" si="163"/>
        <v>39737.521502003765</v>
      </c>
      <c r="AD53" s="133">
        <f t="shared" si="163"/>
        <v>39501.635576677385</v>
      </c>
      <c r="AE53" s="133">
        <f t="shared" si="163"/>
        <v>39265.749651350998</v>
      </c>
      <c r="AF53" s="133">
        <f t="shared" si="163"/>
        <v>39029.863726024625</v>
      </c>
      <c r="AG53" s="161">
        <f t="shared" si="166"/>
        <v>0.40405862696035705</v>
      </c>
      <c r="AH53" s="161">
        <f t="shared" si="164"/>
        <v>0.38268696532146729</v>
      </c>
      <c r="AI53" s="161">
        <f t="shared" si="164"/>
        <v>0.36183973750917436</v>
      </c>
      <c r="AJ53" s="161">
        <f t="shared" si="164"/>
        <v>0.34149787406920901</v>
      </c>
      <c r="AK53" s="161">
        <f t="shared" si="164"/>
        <v>0.32164321901307391</v>
      </c>
      <c r="AL53" s="133">
        <v>0.30225847576921278</v>
      </c>
      <c r="AM53" s="133">
        <v>0.29058731962690665</v>
      </c>
      <c r="AN53" s="133">
        <v>0.27844947694973105</v>
      </c>
      <c r="AO53" s="133">
        <v>0.26581638506697991</v>
      </c>
      <c r="AP53" s="133">
        <v>0.25265710193359292</v>
      </c>
      <c r="AQ53" s="133">
        <v>0.23893805309734514</v>
      </c>
      <c r="AR53" s="133">
        <v>0.23893805309734514</v>
      </c>
      <c r="AS53" s="133">
        <v>0.23893805309734514</v>
      </c>
      <c r="AT53" s="133">
        <v>0.23893805309734514</v>
      </c>
      <c r="AU53" s="133">
        <v>0.23893805309734514</v>
      </c>
      <c r="AV53" s="133">
        <v>0.23893805309734514</v>
      </c>
      <c r="AW53" s="133">
        <v>0.23893805309734514</v>
      </c>
      <c r="AX53" s="133">
        <v>0.23893805309734514</v>
      </c>
      <c r="AY53" s="133">
        <v>0.23893805309734514</v>
      </c>
      <c r="AZ53" s="133">
        <v>0.23893805309734514</v>
      </c>
      <c r="BA53" s="133">
        <v>0.23893805309734514</v>
      </c>
      <c r="BB53" s="133">
        <v>0.23893805309734514</v>
      </c>
      <c r="BC53" s="133">
        <v>0.23893805309734514</v>
      </c>
      <c r="BD53" s="133">
        <v>0.23893805309734514</v>
      </c>
      <c r="BE53" s="133">
        <v>0.23893805309734514</v>
      </c>
      <c r="BF53" s="135">
        <v>0.23893805309734514</v>
      </c>
      <c r="BG53" s="135">
        <v>0.23893805309734514</v>
      </c>
      <c r="BH53" s="135">
        <v>0.23893805309734514</v>
      </c>
      <c r="BI53" s="135">
        <v>0.23893805309734514</v>
      </c>
      <c r="BJ53" s="135">
        <v>0.23893805309734514</v>
      </c>
      <c r="BK53" s="135">
        <v>0.23893805309734514</v>
      </c>
    </row>
    <row r="54" spans="1:63" x14ac:dyDescent="0.35">
      <c r="A54" s="136" t="s">
        <v>10</v>
      </c>
      <c r="B54" s="127">
        <f>'Initial demand info'!F35</f>
        <v>5974.9125000000004</v>
      </c>
      <c r="C54" s="128">
        <f t="shared" si="156"/>
        <v>9905.032509597615</v>
      </c>
      <c r="D54" s="128">
        <f t="shared" si="156"/>
        <v>13835.152519195228</v>
      </c>
      <c r="E54" s="128">
        <f t="shared" si="156"/>
        <v>17765.272528792841</v>
      </c>
      <c r="F54" s="128">
        <f t="shared" si="156"/>
        <v>21695.392538390453</v>
      </c>
      <c r="G54" s="133">
        <f t="shared" si="165"/>
        <v>25625.51254798807</v>
      </c>
      <c r="H54" s="133">
        <f t="shared" si="162"/>
        <v>25306.75482944242</v>
      </c>
      <c r="I54" s="133">
        <f t="shared" si="162"/>
        <v>24986.486485454549</v>
      </c>
      <c r="J54" s="133">
        <f t="shared" si="162"/>
        <v>24664.615061038421</v>
      </c>
      <c r="K54" s="133">
        <f t="shared" si="162"/>
        <v>24341.040399371395</v>
      </c>
      <c r="L54" s="133">
        <f t="shared" si="162"/>
        <v>24015.653822748074</v>
      </c>
      <c r="M54" s="133">
        <f t="shared" si="162"/>
        <v>23584.70496105358</v>
      </c>
      <c r="N54" s="133">
        <f t="shared" si="162"/>
        <v>23153.756099359085</v>
      </c>
      <c r="O54" s="133">
        <f t="shared" si="162"/>
        <v>22722.807237664594</v>
      </c>
      <c r="P54" s="133">
        <f t="shared" si="162"/>
        <v>22291.8583759701</v>
      </c>
      <c r="Q54" s="133">
        <f t="shared" si="162"/>
        <v>21860.909514275605</v>
      </c>
      <c r="R54" s="133">
        <f t="shared" si="162"/>
        <v>21719.789925716508</v>
      </c>
      <c r="S54" s="133">
        <f t="shared" si="162"/>
        <v>21578.670337157415</v>
      </c>
      <c r="T54" s="133">
        <f t="shared" si="162"/>
        <v>21437.550748598318</v>
      </c>
      <c r="U54" s="133">
        <f t="shared" si="162"/>
        <v>21296.431160039221</v>
      </c>
      <c r="V54" s="133">
        <f t="shared" si="162"/>
        <v>21155.311571480128</v>
      </c>
      <c r="W54" s="133">
        <f t="shared" si="162"/>
        <v>21071.190622899678</v>
      </c>
      <c r="X54" s="133">
        <f t="shared" si="163"/>
        <v>20987.069674319227</v>
      </c>
      <c r="Y54" s="133">
        <f t="shared" si="163"/>
        <v>20902.948725738777</v>
      </c>
      <c r="Z54" s="133">
        <f t="shared" si="163"/>
        <v>20818.827777158327</v>
      </c>
      <c r="AA54" s="133">
        <f t="shared" si="163"/>
        <v>20734.70682857787</v>
      </c>
      <c r="AB54" s="133">
        <f t="shared" si="163"/>
        <v>20613.067647711556</v>
      </c>
      <c r="AC54" s="133">
        <f t="shared" si="163"/>
        <v>20491.428466845246</v>
      </c>
      <c r="AD54" s="133">
        <f t="shared" si="163"/>
        <v>20369.789285978935</v>
      </c>
      <c r="AE54" s="133">
        <f t="shared" si="163"/>
        <v>20248.150105112622</v>
      </c>
      <c r="AF54" s="133">
        <f t="shared" si="163"/>
        <v>20126.510924246315</v>
      </c>
      <c r="AG54" s="161">
        <f t="shared" si="166"/>
        <v>3.1028103761602695E-2</v>
      </c>
      <c r="AH54" s="161">
        <f t="shared" si="164"/>
        <v>5.0798523986652876E-2</v>
      </c>
      <c r="AI54" s="161">
        <f t="shared" si="164"/>
        <v>7.0083802845194415E-2</v>
      </c>
      <c r="AJ54" s="161">
        <f t="shared" si="164"/>
        <v>8.8901581039702249E-2</v>
      </c>
      <c r="AK54" s="161">
        <f t="shared" si="164"/>
        <v>0.10726865424700575</v>
      </c>
      <c r="AL54" s="128">
        <v>0.12520102311758763</v>
      </c>
      <c r="AM54" s="128">
        <v>0.12483460563473953</v>
      </c>
      <c r="AN54" s="128">
        <v>0.12445353646671978</v>
      </c>
      <c r="AO54" s="128">
        <v>0.12405691888472314</v>
      </c>
      <c r="AP54" s="128">
        <v>0.12364378145917342</v>
      </c>
      <c r="AQ54" s="128">
        <v>0.12321307011572498</v>
      </c>
      <c r="AR54" s="128">
        <v>0.12321307011572498</v>
      </c>
      <c r="AS54" s="128">
        <v>0.12321307011572498</v>
      </c>
      <c r="AT54" s="128">
        <v>0.12321307011572498</v>
      </c>
      <c r="AU54" s="128">
        <v>0.12321307011572498</v>
      </c>
      <c r="AV54" s="128">
        <v>0.12321307011572498</v>
      </c>
      <c r="AW54" s="128">
        <v>0.12321307011572498</v>
      </c>
      <c r="AX54" s="128">
        <v>0.12321307011572498</v>
      </c>
      <c r="AY54" s="128">
        <v>0.12321307011572498</v>
      </c>
      <c r="AZ54" s="128">
        <v>0.12321307011572498</v>
      </c>
      <c r="BA54" s="128">
        <v>0.12321307011572498</v>
      </c>
      <c r="BB54" s="128">
        <v>0.12321307011572498</v>
      </c>
      <c r="BC54" s="128">
        <v>0.12321307011572498</v>
      </c>
      <c r="BD54" s="128">
        <v>0.12321307011572498</v>
      </c>
      <c r="BE54" s="128">
        <v>0.12321307011572498</v>
      </c>
      <c r="BF54" s="130">
        <v>0.12321307011572498</v>
      </c>
      <c r="BG54" s="130">
        <v>0.12321307011572498</v>
      </c>
      <c r="BH54" s="130">
        <v>0.12321307011572498</v>
      </c>
      <c r="BI54" s="130">
        <v>0.12321307011572498</v>
      </c>
      <c r="BJ54" s="130">
        <v>0.12321307011572498</v>
      </c>
      <c r="BK54" s="130">
        <v>0.12321307011572498</v>
      </c>
    </row>
    <row r="55" spans="1:63" x14ac:dyDescent="0.35">
      <c r="A55" s="131"/>
      <c r="B55" s="132"/>
      <c r="C55" s="128"/>
      <c r="D55" s="128"/>
      <c r="E55" s="128"/>
      <c r="F55" s="128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5"/>
      <c r="BG55" s="135"/>
      <c r="BH55" s="135"/>
      <c r="BI55" s="135"/>
      <c r="BJ55" s="135"/>
      <c r="BK55" s="135"/>
    </row>
    <row r="56" spans="1:63" x14ac:dyDescent="0.35">
      <c r="A56" s="126" t="s">
        <v>53</v>
      </c>
      <c r="B56" s="128">
        <v>342052.6</v>
      </c>
      <c r="C56" s="128">
        <f t="shared" ref="C56:F61" si="167">B56+($G56-$B56)/5</f>
        <v>342052.6</v>
      </c>
      <c r="D56" s="128">
        <f t="shared" si="167"/>
        <v>342052.6</v>
      </c>
      <c r="E56" s="128">
        <f t="shared" si="167"/>
        <v>342052.6</v>
      </c>
      <c r="F56" s="128">
        <f t="shared" si="167"/>
        <v>342052.6</v>
      </c>
      <c r="G56" s="159">
        <f>'Initial demand info'!K37</f>
        <v>342052.6</v>
      </c>
      <c r="H56" s="128">
        <f>G56+($L56-$G56)/5</f>
        <v>342052.6</v>
      </c>
      <c r="I56" s="128">
        <f t="shared" ref="I56:K56" si="168">H56+($L56-$G56)/5</f>
        <v>342052.6</v>
      </c>
      <c r="J56" s="128">
        <f t="shared" si="168"/>
        <v>342052.6</v>
      </c>
      <c r="K56" s="128">
        <f t="shared" si="168"/>
        <v>342052.6</v>
      </c>
      <c r="L56" s="127">
        <f>'Initial demand info'!L37</f>
        <v>342052.6</v>
      </c>
      <c r="M56" s="128">
        <f>L56+($Q56-$L56)/5</f>
        <v>342052.59999999992</v>
      </c>
      <c r="N56" s="128">
        <f t="shared" ref="N56:P56" si="169">M56+($Q56-$L56)/5</f>
        <v>342052.59999999986</v>
      </c>
      <c r="O56" s="128">
        <f t="shared" si="169"/>
        <v>342052.5999999998</v>
      </c>
      <c r="P56" s="128">
        <f t="shared" si="169"/>
        <v>342052.59999999974</v>
      </c>
      <c r="Q56" s="128">
        <v>342052.59999999974</v>
      </c>
      <c r="R56" s="128">
        <f>Q56+($V56-$Q56)/5</f>
        <v>342052.59999999974</v>
      </c>
      <c r="S56" s="128">
        <f t="shared" ref="S56:U56" si="170">R56+($V56-$Q56)/5</f>
        <v>342052.59999999974</v>
      </c>
      <c r="T56" s="128">
        <f t="shared" si="170"/>
        <v>342052.59999999974</v>
      </c>
      <c r="U56" s="128">
        <f t="shared" si="170"/>
        <v>342052.59999999974</v>
      </c>
      <c r="V56" s="128">
        <v>342052.59999999974</v>
      </c>
      <c r="W56" s="128">
        <f>V56+($AA56-$V56)/5</f>
        <v>342052.59999999974</v>
      </c>
      <c r="X56" s="128">
        <f t="shared" ref="X56:Z56" si="171">W56+($AA56-$V56)/5</f>
        <v>342052.59999999974</v>
      </c>
      <c r="Y56" s="128">
        <f t="shared" si="171"/>
        <v>342052.59999999974</v>
      </c>
      <c r="Z56" s="128">
        <f t="shared" si="171"/>
        <v>342052.59999999974</v>
      </c>
      <c r="AA56" s="128">
        <v>342052.59999999974</v>
      </c>
      <c r="AB56" s="128">
        <f>AA56+($AF56-$AA56)/5</f>
        <v>342052.59999999974</v>
      </c>
      <c r="AC56" s="128">
        <f t="shared" ref="AC56:AE56" si="172">AB56+($AF56-$AA56)/5</f>
        <v>342052.59999999974</v>
      </c>
      <c r="AD56" s="128">
        <f t="shared" si="172"/>
        <v>342052.59999999974</v>
      </c>
      <c r="AE56" s="128">
        <f t="shared" si="172"/>
        <v>342052.59999999974</v>
      </c>
      <c r="AF56" s="128">
        <v>342052.59999999974</v>
      </c>
      <c r="AG56" s="128">
        <f>SUM(AG57:AG61)</f>
        <v>1</v>
      </c>
      <c r="AH56" s="128">
        <f t="shared" ref="AH56:BK56" si="173">SUM(AH57:AH61)</f>
        <v>1</v>
      </c>
      <c r="AI56" s="128">
        <f t="shared" si="173"/>
        <v>1</v>
      </c>
      <c r="AJ56" s="128">
        <f t="shared" si="173"/>
        <v>1</v>
      </c>
      <c r="AK56" s="128">
        <f t="shared" si="173"/>
        <v>1</v>
      </c>
      <c r="AL56" s="128">
        <f t="shared" si="173"/>
        <v>1</v>
      </c>
      <c r="AM56" s="128">
        <f t="shared" si="173"/>
        <v>1</v>
      </c>
      <c r="AN56" s="128">
        <f t="shared" si="173"/>
        <v>1</v>
      </c>
      <c r="AO56" s="128">
        <f t="shared" si="173"/>
        <v>1</v>
      </c>
      <c r="AP56" s="128">
        <f t="shared" si="173"/>
        <v>1</v>
      </c>
      <c r="AQ56" s="128">
        <f t="shared" si="173"/>
        <v>1</v>
      </c>
      <c r="AR56" s="128">
        <f t="shared" si="173"/>
        <v>1</v>
      </c>
      <c r="AS56" s="128">
        <f t="shared" si="173"/>
        <v>1</v>
      </c>
      <c r="AT56" s="128">
        <f t="shared" si="173"/>
        <v>1</v>
      </c>
      <c r="AU56" s="128">
        <f t="shared" si="173"/>
        <v>1</v>
      </c>
      <c r="AV56" s="128">
        <f t="shared" si="173"/>
        <v>1</v>
      </c>
      <c r="AW56" s="128">
        <f t="shared" si="173"/>
        <v>1</v>
      </c>
      <c r="AX56" s="128">
        <f t="shared" si="173"/>
        <v>1</v>
      </c>
      <c r="AY56" s="128">
        <f t="shared" si="173"/>
        <v>1</v>
      </c>
      <c r="AZ56" s="128">
        <f t="shared" si="173"/>
        <v>1</v>
      </c>
      <c r="BA56" s="128">
        <f t="shared" si="173"/>
        <v>1</v>
      </c>
      <c r="BB56" s="128">
        <f t="shared" si="173"/>
        <v>1</v>
      </c>
      <c r="BC56" s="128">
        <f t="shared" si="173"/>
        <v>1</v>
      </c>
      <c r="BD56" s="128">
        <f t="shared" si="173"/>
        <v>1</v>
      </c>
      <c r="BE56" s="128">
        <f t="shared" si="173"/>
        <v>1</v>
      </c>
      <c r="BF56" s="130">
        <f t="shared" si="173"/>
        <v>1</v>
      </c>
      <c r="BG56" s="130">
        <f t="shared" si="173"/>
        <v>1</v>
      </c>
      <c r="BH56" s="130">
        <f t="shared" si="173"/>
        <v>1</v>
      </c>
      <c r="BI56" s="130">
        <f t="shared" si="173"/>
        <v>1</v>
      </c>
      <c r="BJ56" s="130">
        <f t="shared" si="173"/>
        <v>1</v>
      </c>
      <c r="BK56" s="130">
        <f t="shared" si="173"/>
        <v>1</v>
      </c>
    </row>
    <row r="57" spans="1:63" x14ac:dyDescent="0.35">
      <c r="A57" s="149" t="s">
        <v>11</v>
      </c>
      <c r="B57" s="133">
        <v>5833.7017054984371</v>
      </c>
      <c r="C57" s="128">
        <f t="shared" si="167"/>
        <v>5833.7017054984371</v>
      </c>
      <c r="D57" s="128">
        <f t="shared" si="167"/>
        <v>5833.7017054984371</v>
      </c>
      <c r="E57" s="128">
        <f t="shared" si="167"/>
        <v>5833.7017054984371</v>
      </c>
      <c r="F57" s="128">
        <f t="shared" si="167"/>
        <v>5833.7017054984371</v>
      </c>
      <c r="G57" s="133">
        <f>G$56*AL57</f>
        <v>5833.7017054984371</v>
      </c>
      <c r="H57" s="133">
        <f t="shared" ref="H57:W61" si="174">H$56*AM57</f>
        <v>5833.7017054984371</v>
      </c>
      <c r="I57" s="133">
        <f t="shared" si="174"/>
        <v>5833.7017054984371</v>
      </c>
      <c r="J57" s="133">
        <f t="shared" si="174"/>
        <v>5833.7017054984371</v>
      </c>
      <c r="K57" s="133">
        <f t="shared" si="174"/>
        <v>5833.7017054984371</v>
      </c>
      <c r="L57" s="133">
        <f t="shared" si="174"/>
        <v>5833.7017054984371</v>
      </c>
      <c r="M57" s="133">
        <f t="shared" si="174"/>
        <v>5833.7017054984353</v>
      </c>
      <c r="N57" s="133">
        <f t="shared" si="174"/>
        <v>5833.7017054984344</v>
      </c>
      <c r="O57" s="133">
        <f t="shared" si="174"/>
        <v>5833.7017054984335</v>
      </c>
      <c r="P57" s="133">
        <f t="shared" si="174"/>
        <v>5833.7017054984326</v>
      </c>
      <c r="Q57" s="133">
        <f t="shared" si="174"/>
        <v>5833.7017054984326</v>
      </c>
      <c r="R57" s="133">
        <f t="shared" si="174"/>
        <v>5833.7017054984326</v>
      </c>
      <c r="S57" s="133">
        <f t="shared" si="174"/>
        <v>5833.7017054984326</v>
      </c>
      <c r="T57" s="133">
        <f t="shared" si="174"/>
        <v>5833.7017054984326</v>
      </c>
      <c r="U57" s="133">
        <f t="shared" si="174"/>
        <v>5833.7017054984326</v>
      </c>
      <c r="V57" s="133">
        <f t="shared" si="174"/>
        <v>5833.7017054984326</v>
      </c>
      <c r="W57" s="133">
        <f t="shared" si="174"/>
        <v>5833.7017054984326</v>
      </c>
      <c r="X57" s="133">
        <f t="shared" ref="X57:AF61" si="175">X$56*BC57</f>
        <v>5833.7017054984326</v>
      </c>
      <c r="Y57" s="133">
        <f t="shared" si="175"/>
        <v>5833.7017054984326</v>
      </c>
      <c r="Z57" s="133">
        <f t="shared" si="175"/>
        <v>5833.7017054984326</v>
      </c>
      <c r="AA57" s="133">
        <f t="shared" si="175"/>
        <v>5833.7017054984326</v>
      </c>
      <c r="AB57" s="133">
        <f t="shared" si="175"/>
        <v>5833.7017054984326</v>
      </c>
      <c r="AC57" s="133">
        <f t="shared" si="175"/>
        <v>5833.7017054984326</v>
      </c>
      <c r="AD57" s="133">
        <f t="shared" si="175"/>
        <v>5833.7017054984326</v>
      </c>
      <c r="AE57" s="133">
        <f t="shared" si="175"/>
        <v>5833.7017054984326</v>
      </c>
      <c r="AF57" s="133">
        <f t="shared" si="175"/>
        <v>5833.7017054984326</v>
      </c>
      <c r="AG57" s="161">
        <f>B57/B$56</f>
        <v>1.70549842494939E-2</v>
      </c>
      <c r="AH57" s="161">
        <f t="shared" ref="AH57:AK61" si="176">C57/C$56</f>
        <v>1.70549842494939E-2</v>
      </c>
      <c r="AI57" s="161">
        <f t="shared" si="176"/>
        <v>1.70549842494939E-2</v>
      </c>
      <c r="AJ57" s="161">
        <f t="shared" si="176"/>
        <v>1.70549842494939E-2</v>
      </c>
      <c r="AK57" s="161">
        <f t="shared" si="176"/>
        <v>1.70549842494939E-2</v>
      </c>
      <c r="AL57" s="133">
        <v>1.70549842494939E-2</v>
      </c>
      <c r="AM57" s="133">
        <v>1.70549842494939E-2</v>
      </c>
      <c r="AN57" s="133">
        <v>1.70549842494939E-2</v>
      </c>
      <c r="AO57" s="133">
        <v>1.70549842494939E-2</v>
      </c>
      <c r="AP57" s="133">
        <v>1.70549842494939E-2</v>
      </c>
      <c r="AQ57" s="133">
        <v>1.70549842494939E-2</v>
      </c>
      <c r="AR57" s="133">
        <v>1.70549842494939E-2</v>
      </c>
      <c r="AS57" s="133">
        <v>1.70549842494939E-2</v>
      </c>
      <c r="AT57" s="133">
        <v>1.70549842494939E-2</v>
      </c>
      <c r="AU57" s="133">
        <v>1.70549842494939E-2</v>
      </c>
      <c r="AV57" s="133">
        <v>1.70549842494939E-2</v>
      </c>
      <c r="AW57" s="133">
        <v>1.70549842494939E-2</v>
      </c>
      <c r="AX57" s="133">
        <v>1.70549842494939E-2</v>
      </c>
      <c r="AY57" s="133">
        <v>1.70549842494939E-2</v>
      </c>
      <c r="AZ57" s="133">
        <v>1.70549842494939E-2</v>
      </c>
      <c r="BA57" s="133">
        <v>1.70549842494939E-2</v>
      </c>
      <c r="BB57" s="133">
        <v>1.70549842494939E-2</v>
      </c>
      <c r="BC57" s="133">
        <v>1.70549842494939E-2</v>
      </c>
      <c r="BD57" s="133">
        <v>1.70549842494939E-2</v>
      </c>
      <c r="BE57" s="133">
        <v>1.70549842494939E-2</v>
      </c>
      <c r="BF57" s="135">
        <v>1.70549842494939E-2</v>
      </c>
      <c r="BG57" s="135">
        <v>1.70549842494939E-2</v>
      </c>
      <c r="BH57" s="135">
        <v>1.70549842494939E-2</v>
      </c>
      <c r="BI57" s="135">
        <v>1.70549842494939E-2</v>
      </c>
      <c r="BJ57" s="135">
        <v>1.70549842494939E-2</v>
      </c>
      <c r="BK57" s="135">
        <v>1.70549842494939E-2</v>
      </c>
    </row>
    <row r="58" spans="1:63" x14ac:dyDescent="0.35">
      <c r="A58" s="150" t="s">
        <v>13</v>
      </c>
      <c r="B58" s="128">
        <v>3336.5009754350572</v>
      </c>
      <c r="C58" s="128">
        <f t="shared" si="167"/>
        <v>3336.5009754350572</v>
      </c>
      <c r="D58" s="128">
        <f t="shared" si="167"/>
        <v>3336.5009754350572</v>
      </c>
      <c r="E58" s="128">
        <f t="shared" si="167"/>
        <v>3336.5009754350572</v>
      </c>
      <c r="F58" s="128">
        <f t="shared" si="167"/>
        <v>3336.5009754350572</v>
      </c>
      <c r="G58" s="133">
        <f t="shared" ref="G58:G61" si="177">G$56*AL58</f>
        <v>3336.5009754350572</v>
      </c>
      <c r="H58" s="133">
        <f t="shared" si="174"/>
        <v>3336.5009754350572</v>
      </c>
      <c r="I58" s="133">
        <f t="shared" si="174"/>
        <v>3336.5009754350572</v>
      </c>
      <c r="J58" s="133">
        <f t="shared" si="174"/>
        <v>3336.5009754350572</v>
      </c>
      <c r="K58" s="133">
        <f t="shared" si="174"/>
        <v>3336.5009754350572</v>
      </c>
      <c r="L58" s="133">
        <f t="shared" si="174"/>
        <v>3336.5009754350572</v>
      </c>
      <c r="M58" s="133">
        <f t="shared" si="174"/>
        <v>3336.5009754350567</v>
      </c>
      <c r="N58" s="133">
        <f t="shared" si="174"/>
        <v>3336.5009754350563</v>
      </c>
      <c r="O58" s="133">
        <f t="shared" si="174"/>
        <v>3336.5009754350554</v>
      </c>
      <c r="P58" s="133">
        <f t="shared" si="174"/>
        <v>3336.5009754350549</v>
      </c>
      <c r="Q58" s="133">
        <f t="shared" si="174"/>
        <v>3336.5009754350549</v>
      </c>
      <c r="R58" s="133">
        <f t="shared" si="174"/>
        <v>3336.5009754350549</v>
      </c>
      <c r="S58" s="133">
        <f t="shared" si="174"/>
        <v>3336.5009754350549</v>
      </c>
      <c r="T58" s="133">
        <f t="shared" si="174"/>
        <v>3336.5009754350549</v>
      </c>
      <c r="U58" s="133">
        <f t="shared" si="174"/>
        <v>3336.5009754350549</v>
      </c>
      <c r="V58" s="133">
        <f t="shared" si="174"/>
        <v>3336.5009754350549</v>
      </c>
      <c r="W58" s="133">
        <f t="shared" si="174"/>
        <v>3336.5009754350549</v>
      </c>
      <c r="X58" s="133">
        <f t="shared" si="175"/>
        <v>3336.5009754350549</v>
      </c>
      <c r="Y58" s="133">
        <f t="shared" si="175"/>
        <v>3336.5009754350549</v>
      </c>
      <c r="Z58" s="133">
        <f t="shared" si="175"/>
        <v>3336.5009754350549</v>
      </c>
      <c r="AA58" s="133">
        <f t="shared" si="175"/>
        <v>3336.5009754350549</v>
      </c>
      <c r="AB58" s="133">
        <f t="shared" si="175"/>
        <v>3336.5009754350549</v>
      </c>
      <c r="AC58" s="133">
        <f t="shared" si="175"/>
        <v>3336.5009754350549</v>
      </c>
      <c r="AD58" s="133">
        <f t="shared" si="175"/>
        <v>3336.5009754350549</v>
      </c>
      <c r="AE58" s="133">
        <f t="shared" si="175"/>
        <v>3336.5009754350549</v>
      </c>
      <c r="AF58" s="133">
        <f t="shared" si="175"/>
        <v>3336.5009754350549</v>
      </c>
      <c r="AG58" s="161">
        <f t="shared" ref="AG58:AG61" si="178">B58/B$56</f>
        <v>9.7543505748386578E-3</v>
      </c>
      <c r="AH58" s="161">
        <f t="shared" si="176"/>
        <v>9.7543505748386578E-3</v>
      </c>
      <c r="AI58" s="161">
        <f t="shared" si="176"/>
        <v>9.7543505748386578E-3</v>
      </c>
      <c r="AJ58" s="161">
        <f t="shared" si="176"/>
        <v>9.7543505748386578E-3</v>
      </c>
      <c r="AK58" s="161">
        <f t="shared" si="176"/>
        <v>9.7543505748386578E-3</v>
      </c>
      <c r="AL58" s="128">
        <v>9.7543505748386578E-3</v>
      </c>
      <c r="AM58" s="128">
        <v>9.7543505748386578E-3</v>
      </c>
      <c r="AN58" s="128">
        <v>9.7543505748386578E-3</v>
      </c>
      <c r="AO58" s="128">
        <v>9.7543505748386578E-3</v>
      </c>
      <c r="AP58" s="128">
        <v>9.7543505748386578E-3</v>
      </c>
      <c r="AQ58" s="128">
        <v>9.7543505748386578E-3</v>
      </c>
      <c r="AR58" s="128">
        <v>9.7543505748386578E-3</v>
      </c>
      <c r="AS58" s="128">
        <v>9.7543505748386578E-3</v>
      </c>
      <c r="AT58" s="128">
        <v>9.7543505748386578E-3</v>
      </c>
      <c r="AU58" s="128">
        <v>9.7543505748386578E-3</v>
      </c>
      <c r="AV58" s="128">
        <v>9.7543505748386578E-3</v>
      </c>
      <c r="AW58" s="128">
        <v>9.7543505748386578E-3</v>
      </c>
      <c r="AX58" s="128">
        <v>9.7543505748386578E-3</v>
      </c>
      <c r="AY58" s="128">
        <v>9.7543505748386578E-3</v>
      </c>
      <c r="AZ58" s="128">
        <v>9.7543505748386578E-3</v>
      </c>
      <c r="BA58" s="128">
        <v>9.7543505748386578E-3</v>
      </c>
      <c r="BB58" s="128">
        <v>9.7543505748386578E-3</v>
      </c>
      <c r="BC58" s="128">
        <v>9.7543505748386578E-3</v>
      </c>
      <c r="BD58" s="128">
        <v>9.7543505748386578E-3</v>
      </c>
      <c r="BE58" s="128">
        <v>9.7543505748386578E-3</v>
      </c>
      <c r="BF58" s="130">
        <v>9.7543505748386578E-3</v>
      </c>
      <c r="BG58" s="130">
        <v>9.7543505748386578E-3</v>
      </c>
      <c r="BH58" s="130">
        <v>9.7543505748386578E-3</v>
      </c>
      <c r="BI58" s="130">
        <v>9.7543505748386578E-3</v>
      </c>
      <c r="BJ58" s="130">
        <v>9.7543505748386578E-3</v>
      </c>
      <c r="BK58" s="130">
        <v>9.7543505748386578E-3</v>
      </c>
    </row>
    <row r="59" spans="1:63" x14ac:dyDescent="0.35">
      <c r="A59" s="149" t="s">
        <v>10</v>
      </c>
      <c r="B59" s="133">
        <v>327449.39573071379</v>
      </c>
      <c r="C59" s="128">
        <f t="shared" si="167"/>
        <v>327449.39573071379</v>
      </c>
      <c r="D59" s="128">
        <f t="shared" si="167"/>
        <v>327449.39573071379</v>
      </c>
      <c r="E59" s="128">
        <f t="shared" si="167"/>
        <v>327449.39573071379</v>
      </c>
      <c r="F59" s="128">
        <f t="shared" si="167"/>
        <v>327449.39573071379</v>
      </c>
      <c r="G59" s="133">
        <f t="shared" si="177"/>
        <v>327449.39573071379</v>
      </c>
      <c r="H59" s="133">
        <f t="shared" si="174"/>
        <v>327449.39573071379</v>
      </c>
      <c r="I59" s="133">
        <f t="shared" si="174"/>
        <v>327449.39573071379</v>
      </c>
      <c r="J59" s="133">
        <f t="shared" si="174"/>
        <v>327449.39573071379</v>
      </c>
      <c r="K59" s="133">
        <f t="shared" si="174"/>
        <v>327449.39573071379</v>
      </c>
      <c r="L59" s="133">
        <f t="shared" si="174"/>
        <v>327449.39573071379</v>
      </c>
      <c r="M59" s="133">
        <f t="shared" si="174"/>
        <v>327449.39573071373</v>
      </c>
      <c r="N59" s="133">
        <f t="shared" si="174"/>
        <v>327449.39573071367</v>
      </c>
      <c r="O59" s="133">
        <f t="shared" si="174"/>
        <v>327449.39573071362</v>
      </c>
      <c r="P59" s="133">
        <f t="shared" si="174"/>
        <v>327449.39573071356</v>
      </c>
      <c r="Q59" s="133">
        <f t="shared" si="174"/>
        <v>327449.39573071356</v>
      </c>
      <c r="R59" s="133">
        <f t="shared" si="174"/>
        <v>327449.39573071356</v>
      </c>
      <c r="S59" s="133">
        <f t="shared" si="174"/>
        <v>327449.39573071356</v>
      </c>
      <c r="T59" s="133">
        <f t="shared" si="174"/>
        <v>327449.39573071356</v>
      </c>
      <c r="U59" s="133">
        <f t="shared" si="174"/>
        <v>327449.39573071356</v>
      </c>
      <c r="V59" s="133">
        <f t="shared" si="174"/>
        <v>327449.39573071356</v>
      </c>
      <c r="W59" s="133">
        <f t="shared" si="174"/>
        <v>327449.39573071356</v>
      </c>
      <c r="X59" s="133">
        <f t="shared" si="175"/>
        <v>327449.39573071356</v>
      </c>
      <c r="Y59" s="133">
        <f t="shared" si="175"/>
        <v>327449.39573071356</v>
      </c>
      <c r="Z59" s="133">
        <f t="shared" si="175"/>
        <v>327449.39573071356</v>
      </c>
      <c r="AA59" s="133">
        <f t="shared" si="175"/>
        <v>327449.39573071356</v>
      </c>
      <c r="AB59" s="133">
        <f t="shared" si="175"/>
        <v>327449.39573071356</v>
      </c>
      <c r="AC59" s="133">
        <f t="shared" si="175"/>
        <v>327449.39573071356</v>
      </c>
      <c r="AD59" s="133">
        <f t="shared" si="175"/>
        <v>327449.39573071356</v>
      </c>
      <c r="AE59" s="133">
        <f t="shared" si="175"/>
        <v>327449.39573071356</v>
      </c>
      <c r="AF59" s="133">
        <f t="shared" si="175"/>
        <v>327449.39573071356</v>
      </c>
      <c r="AG59" s="161">
        <f t="shared" si="178"/>
        <v>0.95730713852405691</v>
      </c>
      <c r="AH59" s="161">
        <f t="shared" si="176"/>
        <v>0.95730713852405691</v>
      </c>
      <c r="AI59" s="161">
        <f t="shared" si="176"/>
        <v>0.95730713852405691</v>
      </c>
      <c r="AJ59" s="161">
        <f t="shared" si="176"/>
        <v>0.95730713852405691</v>
      </c>
      <c r="AK59" s="161">
        <f t="shared" si="176"/>
        <v>0.95730713852405691</v>
      </c>
      <c r="AL59" s="133">
        <v>0.95730713852405691</v>
      </c>
      <c r="AM59" s="133">
        <v>0.95730713852405691</v>
      </c>
      <c r="AN59" s="133">
        <v>0.95730713852405691</v>
      </c>
      <c r="AO59" s="133">
        <v>0.95730713852405691</v>
      </c>
      <c r="AP59" s="133">
        <v>0.95730713852405691</v>
      </c>
      <c r="AQ59" s="133">
        <v>0.95730713852405691</v>
      </c>
      <c r="AR59" s="133">
        <v>0.95730713852405691</v>
      </c>
      <c r="AS59" s="133">
        <v>0.95730713852405691</v>
      </c>
      <c r="AT59" s="133">
        <v>0.95730713852405691</v>
      </c>
      <c r="AU59" s="133">
        <v>0.95730713852405691</v>
      </c>
      <c r="AV59" s="133">
        <v>0.95730713852405691</v>
      </c>
      <c r="AW59" s="133">
        <v>0.95730713852405691</v>
      </c>
      <c r="AX59" s="133">
        <v>0.95730713852405691</v>
      </c>
      <c r="AY59" s="133">
        <v>0.95730713852405691</v>
      </c>
      <c r="AZ59" s="133">
        <v>0.95730713852405691</v>
      </c>
      <c r="BA59" s="133">
        <v>0.95730713852405691</v>
      </c>
      <c r="BB59" s="133">
        <v>0.95730713852405691</v>
      </c>
      <c r="BC59" s="133">
        <v>0.95730713852405691</v>
      </c>
      <c r="BD59" s="133">
        <v>0.95730713852405691</v>
      </c>
      <c r="BE59" s="133">
        <v>0.95730713852405691</v>
      </c>
      <c r="BF59" s="135">
        <v>0.95730713852405691</v>
      </c>
      <c r="BG59" s="135">
        <v>0.95730713852405691</v>
      </c>
      <c r="BH59" s="135">
        <v>0.95730713852405691</v>
      </c>
      <c r="BI59" s="135">
        <v>0.95730713852405691</v>
      </c>
      <c r="BJ59" s="135">
        <v>0.95730713852405691</v>
      </c>
      <c r="BK59" s="135">
        <v>0.95730713852405691</v>
      </c>
    </row>
    <row r="60" spans="1:63" x14ac:dyDescent="0.35">
      <c r="A60" s="150" t="s">
        <v>14</v>
      </c>
      <c r="B60" s="128">
        <v>2333.200682117511</v>
      </c>
      <c r="C60" s="128">
        <f t="shared" si="167"/>
        <v>2333.200682117511</v>
      </c>
      <c r="D60" s="128">
        <f t="shared" si="167"/>
        <v>2333.200682117511</v>
      </c>
      <c r="E60" s="128">
        <f t="shared" si="167"/>
        <v>2333.200682117511</v>
      </c>
      <c r="F60" s="128">
        <f t="shared" si="167"/>
        <v>2333.200682117511</v>
      </c>
      <c r="G60" s="133">
        <f t="shared" si="177"/>
        <v>2333.200682117511</v>
      </c>
      <c r="H60" s="133">
        <f t="shared" si="174"/>
        <v>2333.200682117511</v>
      </c>
      <c r="I60" s="133">
        <f t="shared" si="174"/>
        <v>2333.200682117511</v>
      </c>
      <c r="J60" s="133">
        <f t="shared" si="174"/>
        <v>2333.200682117511</v>
      </c>
      <c r="K60" s="133">
        <f t="shared" si="174"/>
        <v>2333.200682117511</v>
      </c>
      <c r="L60" s="133">
        <f t="shared" si="174"/>
        <v>2333.200682117511</v>
      </c>
      <c r="M60" s="133">
        <f t="shared" si="174"/>
        <v>2333.2006821175105</v>
      </c>
      <c r="N60" s="133">
        <f t="shared" si="174"/>
        <v>2333.20068211751</v>
      </c>
      <c r="O60" s="133">
        <f t="shared" si="174"/>
        <v>2333.2006821175096</v>
      </c>
      <c r="P60" s="133">
        <f t="shared" si="174"/>
        <v>2333.2006821175091</v>
      </c>
      <c r="Q60" s="133">
        <f t="shared" si="174"/>
        <v>2333.2006821175091</v>
      </c>
      <c r="R60" s="133">
        <f t="shared" si="174"/>
        <v>2333.2006821175091</v>
      </c>
      <c r="S60" s="133">
        <f t="shared" si="174"/>
        <v>2333.2006821175091</v>
      </c>
      <c r="T60" s="133">
        <f t="shared" si="174"/>
        <v>2333.2006821175091</v>
      </c>
      <c r="U60" s="133">
        <f t="shared" si="174"/>
        <v>2333.2006821175091</v>
      </c>
      <c r="V60" s="133">
        <f t="shared" si="174"/>
        <v>2333.2006821175091</v>
      </c>
      <c r="W60" s="133">
        <f t="shared" si="174"/>
        <v>2333.2006821175091</v>
      </c>
      <c r="X60" s="133">
        <f t="shared" si="175"/>
        <v>2333.2006821175091</v>
      </c>
      <c r="Y60" s="133">
        <f t="shared" si="175"/>
        <v>2333.2006821175091</v>
      </c>
      <c r="Z60" s="133">
        <f t="shared" si="175"/>
        <v>2333.2006821175091</v>
      </c>
      <c r="AA60" s="133">
        <f t="shared" si="175"/>
        <v>2333.2006821175091</v>
      </c>
      <c r="AB60" s="133">
        <f t="shared" si="175"/>
        <v>2333.2006821175091</v>
      </c>
      <c r="AC60" s="133">
        <f t="shared" si="175"/>
        <v>2333.2006821175091</v>
      </c>
      <c r="AD60" s="133">
        <f t="shared" si="175"/>
        <v>2333.2006821175091</v>
      </c>
      <c r="AE60" s="133">
        <f t="shared" si="175"/>
        <v>2333.2006821175091</v>
      </c>
      <c r="AF60" s="133">
        <f t="shared" si="175"/>
        <v>2333.2006821175091</v>
      </c>
      <c r="AG60" s="161">
        <f t="shared" si="178"/>
        <v>6.8211751120076597E-3</v>
      </c>
      <c r="AH60" s="161">
        <f t="shared" si="176"/>
        <v>6.8211751120076597E-3</v>
      </c>
      <c r="AI60" s="161">
        <f t="shared" si="176"/>
        <v>6.8211751120076597E-3</v>
      </c>
      <c r="AJ60" s="161">
        <f t="shared" si="176"/>
        <v>6.8211751120076597E-3</v>
      </c>
      <c r="AK60" s="161">
        <f t="shared" si="176"/>
        <v>6.8211751120076597E-3</v>
      </c>
      <c r="AL60" s="128">
        <v>6.8211751120076589E-3</v>
      </c>
      <c r="AM60" s="128">
        <v>6.8211751120076589E-3</v>
      </c>
      <c r="AN60" s="128">
        <v>6.8211751120076589E-3</v>
      </c>
      <c r="AO60" s="128">
        <v>6.8211751120076589E-3</v>
      </c>
      <c r="AP60" s="128">
        <v>6.8211751120076589E-3</v>
      </c>
      <c r="AQ60" s="128">
        <v>6.8211751120076589E-3</v>
      </c>
      <c r="AR60" s="128">
        <v>6.8211751120076589E-3</v>
      </c>
      <c r="AS60" s="128">
        <v>6.8211751120076589E-3</v>
      </c>
      <c r="AT60" s="128">
        <v>6.8211751120076589E-3</v>
      </c>
      <c r="AU60" s="128">
        <v>6.8211751120076589E-3</v>
      </c>
      <c r="AV60" s="128">
        <v>6.8211751120076589E-3</v>
      </c>
      <c r="AW60" s="128">
        <v>6.8211751120076589E-3</v>
      </c>
      <c r="AX60" s="128">
        <v>6.8211751120076589E-3</v>
      </c>
      <c r="AY60" s="128">
        <v>6.8211751120076589E-3</v>
      </c>
      <c r="AZ60" s="128">
        <v>6.8211751120076589E-3</v>
      </c>
      <c r="BA60" s="128">
        <v>6.8211751120076589E-3</v>
      </c>
      <c r="BB60" s="128">
        <v>6.8211751120076589E-3</v>
      </c>
      <c r="BC60" s="128">
        <v>6.8211751120076589E-3</v>
      </c>
      <c r="BD60" s="128">
        <v>6.8211751120076589E-3</v>
      </c>
      <c r="BE60" s="128">
        <v>6.8211751120076589E-3</v>
      </c>
      <c r="BF60" s="130">
        <v>6.8211751120076589E-3</v>
      </c>
      <c r="BG60" s="130">
        <v>6.8211751120076589E-3</v>
      </c>
      <c r="BH60" s="130">
        <v>6.8211751120076589E-3</v>
      </c>
      <c r="BI60" s="130">
        <v>6.8211751120076589E-3</v>
      </c>
      <c r="BJ60" s="130">
        <v>6.8211751120076589E-3</v>
      </c>
      <c r="BK60" s="130">
        <v>6.8211751120076589E-3</v>
      </c>
    </row>
    <row r="61" spans="1:63" x14ac:dyDescent="0.35">
      <c r="A61" s="149" t="s">
        <v>9</v>
      </c>
      <c r="B61" s="133">
        <v>3099.8009062351539</v>
      </c>
      <c r="C61" s="128">
        <f t="shared" si="167"/>
        <v>3099.8009062351539</v>
      </c>
      <c r="D61" s="128">
        <f t="shared" si="167"/>
        <v>3099.8009062351539</v>
      </c>
      <c r="E61" s="128">
        <f t="shared" si="167"/>
        <v>3099.8009062351539</v>
      </c>
      <c r="F61" s="128">
        <f t="shared" si="167"/>
        <v>3099.8009062351539</v>
      </c>
      <c r="G61" s="133">
        <f t="shared" si="177"/>
        <v>3099.8009062351539</v>
      </c>
      <c r="H61" s="133">
        <f t="shared" si="174"/>
        <v>3099.8009062351539</v>
      </c>
      <c r="I61" s="133">
        <f t="shared" si="174"/>
        <v>3099.8009062351539</v>
      </c>
      <c r="J61" s="133">
        <f t="shared" si="174"/>
        <v>3099.8009062351539</v>
      </c>
      <c r="K61" s="133">
        <f t="shared" si="174"/>
        <v>3099.8009062351539</v>
      </c>
      <c r="L61" s="133">
        <f t="shared" si="174"/>
        <v>3099.8009062351539</v>
      </c>
      <c r="M61" s="133">
        <f t="shared" si="174"/>
        <v>3099.8009062351534</v>
      </c>
      <c r="N61" s="133">
        <f t="shared" si="174"/>
        <v>3099.800906235153</v>
      </c>
      <c r="O61" s="133">
        <f t="shared" si="174"/>
        <v>3099.8009062351525</v>
      </c>
      <c r="P61" s="133">
        <f t="shared" si="174"/>
        <v>3099.8009062351521</v>
      </c>
      <c r="Q61" s="133">
        <f t="shared" si="174"/>
        <v>3099.8009062351521</v>
      </c>
      <c r="R61" s="133">
        <f t="shared" si="174"/>
        <v>3099.8009062351521</v>
      </c>
      <c r="S61" s="133">
        <f t="shared" si="174"/>
        <v>3099.8009062351521</v>
      </c>
      <c r="T61" s="133">
        <f t="shared" si="174"/>
        <v>3099.8009062351521</v>
      </c>
      <c r="U61" s="133">
        <f t="shared" si="174"/>
        <v>3099.8009062351521</v>
      </c>
      <c r="V61" s="133">
        <f t="shared" si="174"/>
        <v>3099.8009062351521</v>
      </c>
      <c r="W61" s="133">
        <f t="shared" si="174"/>
        <v>3099.8009062351521</v>
      </c>
      <c r="X61" s="133">
        <f t="shared" si="175"/>
        <v>3099.8009062351521</v>
      </c>
      <c r="Y61" s="133">
        <f t="shared" si="175"/>
        <v>3099.8009062351521</v>
      </c>
      <c r="Z61" s="133">
        <f t="shared" si="175"/>
        <v>3099.8009062351521</v>
      </c>
      <c r="AA61" s="133">
        <f t="shared" si="175"/>
        <v>3099.8009062351521</v>
      </c>
      <c r="AB61" s="133">
        <f t="shared" si="175"/>
        <v>3099.8009062351521</v>
      </c>
      <c r="AC61" s="133">
        <f t="shared" si="175"/>
        <v>3099.8009062351521</v>
      </c>
      <c r="AD61" s="133">
        <f t="shared" si="175"/>
        <v>3099.8009062351521</v>
      </c>
      <c r="AE61" s="133">
        <f t="shared" si="175"/>
        <v>3099.8009062351521</v>
      </c>
      <c r="AF61" s="133">
        <f t="shared" si="175"/>
        <v>3099.8009062351521</v>
      </c>
      <c r="AG61" s="161">
        <f t="shared" si="178"/>
        <v>9.0623515396028396E-3</v>
      </c>
      <c r="AH61" s="161">
        <f t="shared" si="176"/>
        <v>9.0623515396028396E-3</v>
      </c>
      <c r="AI61" s="161">
        <f t="shared" si="176"/>
        <v>9.0623515396028396E-3</v>
      </c>
      <c r="AJ61" s="161">
        <f t="shared" si="176"/>
        <v>9.0623515396028396E-3</v>
      </c>
      <c r="AK61" s="161">
        <f t="shared" si="176"/>
        <v>9.0623515396028396E-3</v>
      </c>
      <c r="AL61" s="133">
        <v>9.0623515396028396E-3</v>
      </c>
      <c r="AM61" s="133">
        <v>9.0623515396028396E-3</v>
      </c>
      <c r="AN61" s="133">
        <v>9.0623515396028396E-3</v>
      </c>
      <c r="AO61" s="133">
        <v>9.0623515396028396E-3</v>
      </c>
      <c r="AP61" s="133">
        <v>9.0623515396028396E-3</v>
      </c>
      <c r="AQ61" s="133">
        <v>9.0623515396028396E-3</v>
      </c>
      <c r="AR61" s="133">
        <v>9.0623515396028396E-3</v>
      </c>
      <c r="AS61" s="133">
        <v>9.0623515396028396E-3</v>
      </c>
      <c r="AT61" s="133">
        <v>9.0623515396028396E-3</v>
      </c>
      <c r="AU61" s="133">
        <v>9.0623515396028396E-3</v>
      </c>
      <c r="AV61" s="133">
        <v>9.0623515396028396E-3</v>
      </c>
      <c r="AW61" s="133">
        <v>9.0623515396028396E-3</v>
      </c>
      <c r="AX61" s="133">
        <v>9.0623515396028396E-3</v>
      </c>
      <c r="AY61" s="133">
        <v>9.0623515396028396E-3</v>
      </c>
      <c r="AZ61" s="133">
        <v>9.0623515396028396E-3</v>
      </c>
      <c r="BA61" s="133">
        <v>9.0623515396028396E-3</v>
      </c>
      <c r="BB61" s="133">
        <v>9.0623515396028396E-3</v>
      </c>
      <c r="BC61" s="133">
        <v>9.0623515396028396E-3</v>
      </c>
      <c r="BD61" s="133">
        <v>9.0623515396028396E-3</v>
      </c>
      <c r="BE61" s="133">
        <v>9.0623515396028396E-3</v>
      </c>
      <c r="BF61" s="135">
        <v>9.0623515396028396E-3</v>
      </c>
      <c r="BG61" s="135">
        <v>9.0623515396028396E-3</v>
      </c>
      <c r="BH61" s="135">
        <v>9.0623515396028396E-3</v>
      </c>
      <c r="BI61" s="135">
        <v>9.0623515396028396E-3</v>
      </c>
      <c r="BJ61" s="135">
        <v>9.0623515396028396E-3</v>
      </c>
      <c r="BK61" s="135">
        <v>9.0623515396028396E-3</v>
      </c>
    </row>
    <row r="62" spans="1:63" x14ac:dyDescent="0.35">
      <c r="A62" s="136"/>
      <c r="B62" s="127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8"/>
      <c r="AT62" s="128"/>
      <c r="AU62" s="128"/>
      <c r="AV62" s="128"/>
      <c r="AW62" s="128"/>
      <c r="AX62" s="128"/>
      <c r="AY62" s="128"/>
      <c r="AZ62" s="128"/>
      <c r="BA62" s="128"/>
      <c r="BB62" s="128"/>
      <c r="BC62" s="128"/>
      <c r="BD62" s="128"/>
      <c r="BE62" s="128"/>
      <c r="BF62" s="130"/>
      <c r="BG62" s="130"/>
      <c r="BH62" s="130"/>
      <c r="BI62" s="130"/>
      <c r="BJ62" s="130"/>
      <c r="BK62" s="130"/>
    </row>
    <row r="63" spans="1:63" x14ac:dyDescent="0.35">
      <c r="A63" s="137" t="s">
        <v>32</v>
      </c>
      <c r="B63" s="132">
        <f>'Initial demand info'!F37</f>
        <v>33322.601640000001</v>
      </c>
      <c r="C63" s="128">
        <f t="shared" ref="C63:F66" si="179">B63+($G63-$B63)/5</f>
        <v>34585.659285912938</v>
      </c>
      <c r="D63" s="128">
        <f t="shared" si="179"/>
        <v>35848.716931825875</v>
      </c>
      <c r="E63" s="128">
        <f t="shared" si="179"/>
        <v>37111.774577738812</v>
      </c>
      <c r="F63" s="128">
        <f t="shared" si="179"/>
        <v>38374.832223651749</v>
      </c>
      <c r="G63" s="127">
        <f>'Initial demand info'!K38</f>
        <v>39637.889869564686</v>
      </c>
      <c r="H63" s="128">
        <f>G63+($L63-$G63)/5</f>
        <v>39259.729946228996</v>
      </c>
      <c r="I63" s="128">
        <f t="shared" ref="I63:K63" si="180">H63+($L63-$G63)/5</f>
        <v>38881.570022893306</v>
      </c>
      <c r="J63" s="128">
        <f t="shared" si="180"/>
        <v>38503.410099557615</v>
      </c>
      <c r="K63" s="128">
        <f t="shared" si="180"/>
        <v>38125.250176221925</v>
      </c>
      <c r="L63" s="127">
        <f>'Initial demand info'!L38</f>
        <v>37747.090252886228</v>
      </c>
      <c r="M63" s="128">
        <f>L63+($Q63-$L63)/5</f>
        <v>37069.737652085823</v>
      </c>
      <c r="N63" s="128">
        <f t="shared" ref="N63:P63" si="181">M63+($Q63-$L63)/5</f>
        <v>36392.385051285419</v>
      </c>
      <c r="O63" s="128">
        <f t="shared" si="181"/>
        <v>35715.032450485014</v>
      </c>
      <c r="P63" s="128">
        <f t="shared" si="181"/>
        <v>35037.67984968461</v>
      </c>
      <c r="Q63" s="127">
        <f>'Initial demand info'!M38</f>
        <v>34360.32724888419</v>
      </c>
      <c r="R63" s="128">
        <f>Q63+($V63-$Q63)/5</f>
        <v>34138.519677659766</v>
      </c>
      <c r="S63" s="128">
        <f t="shared" ref="S63:U63" si="182">R63+($V63-$Q63)/5</f>
        <v>33916.712106435341</v>
      </c>
      <c r="T63" s="128">
        <f t="shared" si="182"/>
        <v>33694.904535210917</v>
      </c>
      <c r="U63" s="128">
        <f t="shared" si="182"/>
        <v>33473.096963986492</v>
      </c>
      <c r="V63" s="127">
        <f>'Initial demand info'!N38</f>
        <v>33251.289392762061</v>
      </c>
      <c r="W63" s="128">
        <f>V63+($AA63-$V63)/5</f>
        <v>33119.070588241448</v>
      </c>
      <c r="X63" s="128">
        <f t="shared" ref="X63:Z63" si="183">W63+($AA63-$V63)/5</f>
        <v>32986.851783720835</v>
      </c>
      <c r="Y63" s="128">
        <f t="shared" si="183"/>
        <v>32854.632979200222</v>
      </c>
      <c r="Z63" s="128">
        <f t="shared" si="183"/>
        <v>32722.414174679605</v>
      </c>
      <c r="AA63" s="127">
        <f>'Initial demand info'!O38</f>
        <v>32590.195370158977</v>
      </c>
      <c r="AB63" s="128">
        <f>AA63+($AF63-$AA63)/5</f>
        <v>32399.006524236382</v>
      </c>
      <c r="AC63" s="128">
        <f t="shared" ref="AC63:AE63" si="184">AB63+($AF63-$AA63)/5</f>
        <v>32207.817678313786</v>
      </c>
      <c r="AD63" s="128">
        <f t="shared" si="184"/>
        <v>32016.62883239119</v>
      </c>
      <c r="AE63" s="128">
        <f t="shared" si="184"/>
        <v>31825.439986468595</v>
      </c>
      <c r="AF63" s="127">
        <f>'Initial demand info'!P38</f>
        <v>31634.251140545999</v>
      </c>
      <c r="AG63" s="133">
        <v>1</v>
      </c>
      <c r="AH63" s="133">
        <v>1</v>
      </c>
      <c r="AI63" s="133">
        <v>0.99999999999999978</v>
      </c>
      <c r="AJ63" s="133">
        <v>0.99999999999999978</v>
      </c>
      <c r="AK63" s="133">
        <v>0.99999999999999978</v>
      </c>
      <c r="AL63" s="133">
        <v>0.99999999999999978</v>
      </c>
      <c r="AM63" s="133">
        <v>0.99999999999999967</v>
      </c>
      <c r="AN63" s="133">
        <v>0.99999999999999956</v>
      </c>
      <c r="AO63" s="133">
        <v>0.99999999999999967</v>
      </c>
      <c r="AP63" s="133">
        <v>0.99999999999999956</v>
      </c>
      <c r="AQ63" s="133">
        <v>0.99999999999999989</v>
      </c>
      <c r="AR63" s="133">
        <v>0.99999999999999989</v>
      </c>
      <c r="AS63" s="133">
        <v>0.99999999999999989</v>
      </c>
      <c r="AT63" s="133">
        <v>0.99999999999999989</v>
      </c>
      <c r="AU63" s="133">
        <v>0.99999999999999989</v>
      </c>
      <c r="AV63" s="133">
        <v>0.99999999999999989</v>
      </c>
      <c r="AW63" s="133">
        <v>0.99999999999999989</v>
      </c>
      <c r="AX63" s="133">
        <v>0.99999999999999989</v>
      </c>
      <c r="AY63" s="133">
        <v>0.99999999999999989</v>
      </c>
      <c r="AZ63" s="133">
        <v>0.99999999999999989</v>
      </c>
      <c r="BA63" s="133">
        <v>0.99999999999999989</v>
      </c>
      <c r="BB63" s="133">
        <v>0.99999999999999989</v>
      </c>
      <c r="BC63" s="133">
        <v>0.99999999999999989</v>
      </c>
      <c r="BD63" s="133">
        <v>0.99999999999999989</v>
      </c>
      <c r="BE63" s="133">
        <v>0.99999999999999989</v>
      </c>
      <c r="BF63" s="135">
        <v>0.99999999999999989</v>
      </c>
      <c r="BG63" s="135">
        <v>0.99999999999999989</v>
      </c>
      <c r="BH63" s="135">
        <v>0.99999999999999989</v>
      </c>
      <c r="BI63" s="135">
        <v>0.99999999999999989</v>
      </c>
      <c r="BJ63" s="135">
        <v>0.99999999999999989</v>
      </c>
      <c r="BK63" s="135">
        <v>0.99999999999999989</v>
      </c>
    </row>
    <row r="64" spans="1:63" x14ac:dyDescent="0.35">
      <c r="A64" s="136" t="s">
        <v>29</v>
      </c>
      <c r="B64" s="127">
        <f>'Initial demand info'!F38</f>
        <v>6310.5426700000007</v>
      </c>
      <c r="C64" s="128">
        <f t="shared" si="179"/>
        <v>6549.7268236466434</v>
      </c>
      <c r="D64" s="128">
        <f t="shared" si="179"/>
        <v>6788.9109772932861</v>
      </c>
      <c r="E64" s="128">
        <f t="shared" si="179"/>
        <v>7028.0951309399288</v>
      </c>
      <c r="F64" s="128">
        <f t="shared" si="179"/>
        <v>7267.2792845865715</v>
      </c>
      <c r="G64" s="133">
        <f>G$63*AL64</f>
        <v>7506.4634382332124</v>
      </c>
      <c r="H64" s="133">
        <f t="shared" ref="H64:W66" si="185">H$63*AM64</f>
        <v>7434.8490397961241</v>
      </c>
      <c r="I64" s="133">
        <f t="shared" si="185"/>
        <v>7363.2346413590358</v>
      </c>
      <c r="J64" s="133">
        <f t="shared" si="185"/>
        <v>7291.6202429219484</v>
      </c>
      <c r="K64" s="133">
        <f t="shared" si="185"/>
        <v>7220.0058444848601</v>
      </c>
      <c r="L64" s="133">
        <f t="shared" si="185"/>
        <v>7148.3914460477681</v>
      </c>
      <c r="M64" s="133">
        <f t="shared" si="185"/>
        <v>7020.1171471526477</v>
      </c>
      <c r="N64" s="133">
        <f t="shared" si="185"/>
        <v>6891.8428482575273</v>
      </c>
      <c r="O64" s="133">
        <f t="shared" si="185"/>
        <v>6763.5685493624069</v>
      </c>
      <c r="P64" s="133">
        <f t="shared" si="185"/>
        <v>6635.2942504672856</v>
      </c>
      <c r="Q64" s="133">
        <f t="shared" si="185"/>
        <v>6507.0199515721624</v>
      </c>
      <c r="R64" s="133">
        <f t="shared" si="185"/>
        <v>6465.0149298820979</v>
      </c>
      <c r="S64" s="133">
        <f t="shared" si="185"/>
        <v>6423.0099081920334</v>
      </c>
      <c r="T64" s="133">
        <f t="shared" si="185"/>
        <v>6381.0048865019689</v>
      </c>
      <c r="U64" s="133">
        <f t="shared" si="185"/>
        <v>6338.9998648119044</v>
      </c>
      <c r="V64" s="133">
        <f t="shared" si="185"/>
        <v>6296.994843121839</v>
      </c>
      <c r="W64" s="133">
        <f t="shared" si="185"/>
        <v>6271.955780113014</v>
      </c>
      <c r="X64" s="133">
        <f t="shared" ref="X64:AF66" si="186">X$63*BC64</f>
        <v>6246.916717104189</v>
      </c>
      <c r="Y64" s="133">
        <f t="shared" si="186"/>
        <v>6221.877654095365</v>
      </c>
      <c r="Z64" s="133">
        <f t="shared" si="186"/>
        <v>6196.8385910865391</v>
      </c>
      <c r="AA64" s="133">
        <f t="shared" si="186"/>
        <v>6171.7995280777122</v>
      </c>
      <c r="AB64" s="133">
        <f t="shared" si="186"/>
        <v>6135.5929568793308</v>
      </c>
      <c r="AC64" s="133">
        <f t="shared" si="186"/>
        <v>6099.3863856809503</v>
      </c>
      <c r="AD64" s="133">
        <f t="shared" si="186"/>
        <v>6063.1798144825698</v>
      </c>
      <c r="AE64" s="133">
        <f t="shared" si="186"/>
        <v>6026.9732432841893</v>
      </c>
      <c r="AF64" s="133">
        <f t="shared" si="186"/>
        <v>5990.7666720858078</v>
      </c>
      <c r="AG64" s="161">
        <f>B64/B$63</f>
        <v>0.18937725025722213</v>
      </c>
      <c r="AH64" s="161">
        <f t="shared" ref="AH64:AK66" si="187">C64/C$63</f>
        <v>0.18937695446258004</v>
      </c>
      <c r="AI64" s="161">
        <f t="shared" si="187"/>
        <v>0.18937667951139997</v>
      </c>
      <c r="AJ64" s="161">
        <f t="shared" si="187"/>
        <v>0.18937642327553028</v>
      </c>
      <c r="AK64" s="161">
        <f t="shared" si="187"/>
        <v>0.18937618390700073</v>
      </c>
      <c r="AL64" s="128">
        <v>0.18937595979338268</v>
      </c>
      <c r="AM64" s="128">
        <v>0.18937595979338268</v>
      </c>
      <c r="AN64" s="128">
        <v>0.18937595979338268</v>
      </c>
      <c r="AO64" s="128">
        <v>0.1893759597933827</v>
      </c>
      <c r="AP64" s="128">
        <v>0.1893759597933827</v>
      </c>
      <c r="AQ64" s="128">
        <v>0.18937595979338265</v>
      </c>
      <c r="AR64" s="128">
        <v>0.18937595979338265</v>
      </c>
      <c r="AS64" s="128">
        <v>0.18937595979338265</v>
      </c>
      <c r="AT64" s="128">
        <v>0.18937595979338265</v>
      </c>
      <c r="AU64" s="128">
        <v>0.18937595979338265</v>
      </c>
      <c r="AV64" s="128">
        <v>0.18937595979338265</v>
      </c>
      <c r="AW64" s="128">
        <v>0.18937595979338265</v>
      </c>
      <c r="AX64" s="128">
        <v>0.18937595979338265</v>
      </c>
      <c r="AY64" s="128">
        <v>0.18937595979338265</v>
      </c>
      <c r="AZ64" s="128">
        <v>0.18937595979338265</v>
      </c>
      <c r="BA64" s="128">
        <v>0.18937595979338265</v>
      </c>
      <c r="BB64" s="128">
        <v>0.18937595979338265</v>
      </c>
      <c r="BC64" s="128">
        <v>0.18937595979338265</v>
      </c>
      <c r="BD64" s="128">
        <v>0.18937595979338265</v>
      </c>
      <c r="BE64" s="128">
        <v>0.18937595979338265</v>
      </c>
      <c r="BF64" s="130">
        <v>0.18937595979338265</v>
      </c>
      <c r="BG64" s="130">
        <v>0.18937595979338265</v>
      </c>
      <c r="BH64" s="130">
        <v>0.18937595979338265</v>
      </c>
      <c r="BI64" s="130">
        <v>0.18937595979338265</v>
      </c>
      <c r="BJ64" s="130">
        <v>0.18937595979338265</v>
      </c>
      <c r="BK64" s="130">
        <v>0.18937595979338265</v>
      </c>
    </row>
    <row r="65" spans="1:63" x14ac:dyDescent="0.35">
      <c r="A65" s="131" t="s">
        <v>28</v>
      </c>
      <c r="B65" s="132">
        <f>'Initial demand info'!F39</f>
        <v>1580.5635200000002</v>
      </c>
      <c r="C65" s="128">
        <f t="shared" si="179"/>
        <v>1640.465700355287</v>
      </c>
      <c r="D65" s="128">
        <f t="shared" si="179"/>
        <v>1700.3678807105739</v>
      </c>
      <c r="E65" s="128">
        <f t="shared" si="179"/>
        <v>1760.2700610658608</v>
      </c>
      <c r="F65" s="128">
        <f t="shared" si="179"/>
        <v>1820.1722414211476</v>
      </c>
      <c r="G65" s="133">
        <f t="shared" ref="G65:G66" si="188">G$63*AL65</f>
        <v>1880.0744217764343</v>
      </c>
      <c r="H65" s="133">
        <f t="shared" si="185"/>
        <v>1862.1378262224346</v>
      </c>
      <c r="I65" s="133">
        <f t="shared" si="185"/>
        <v>1844.2012306684344</v>
      </c>
      <c r="J65" s="133">
        <f t="shared" si="185"/>
        <v>1826.2646351144347</v>
      </c>
      <c r="K65" s="133">
        <f t="shared" si="185"/>
        <v>1808.3280395604347</v>
      </c>
      <c r="L65" s="133">
        <f t="shared" si="185"/>
        <v>1790.3914440064352</v>
      </c>
      <c r="M65" s="133">
        <f t="shared" si="185"/>
        <v>1758.263767596839</v>
      </c>
      <c r="N65" s="133">
        <f t="shared" si="185"/>
        <v>1726.1360911872428</v>
      </c>
      <c r="O65" s="133">
        <f t="shared" si="185"/>
        <v>1694.0084147776465</v>
      </c>
      <c r="P65" s="133">
        <f t="shared" si="185"/>
        <v>1661.8807383680505</v>
      </c>
      <c r="Q65" s="133">
        <f t="shared" si="185"/>
        <v>1629.7530619584536</v>
      </c>
      <c r="R65" s="133">
        <f t="shared" si="185"/>
        <v>1619.2324529505661</v>
      </c>
      <c r="S65" s="133">
        <f t="shared" si="185"/>
        <v>1608.7118439426786</v>
      </c>
      <c r="T65" s="133">
        <f t="shared" si="185"/>
        <v>1598.1912349347911</v>
      </c>
      <c r="U65" s="133">
        <f t="shared" si="185"/>
        <v>1587.6706259269035</v>
      </c>
      <c r="V65" s="133">
        <f t="shared" si="185"/>
        <v>1577.1500169190156</v>
      </c>
      <c r="W65" s="133">
        <f t="shared" si="185"/>
        <v>1570.8787145546603</v>
      </c>
      <c r="X65" s="133">
        <f t="shared" si="186"/>
        <v>1564.6074121903048</v>
      </c>
      <c r="Y65" s="133">
        <f t="shared" si="186"/>
        <v>1558.3361098259493</v>
      </c>
      <c r="Z65" s="133">
        <f t="shared" si="186"/>
        <v>1552.0648074615935</v>
      </c>
      <c r="AA65" s="133">
        <f t="shared" si="186"/>
        <v>1545.7935050972374</v>
      </c>
      <c r="AB65" s="133">
        <f t="shared" si="186"/>
        <v>1536.7251803168099</v>
      </c>
      <c r="AC65" s="133">
        <f t="shared" si="186"/>
        <v>1527.6568555363824</v>
      </c>
      <c r="AD65" s="133">
        <f t="shared" si="186"/>
        <v>1518.5885307559552</v>
      </c>
      <c r="AE65" s="133">
        <f t="shared" si="186"/>
        <v>1509.5202059755277</v>
      </c>
      <c r="AF65" s="133">
        <f t="shared" si="186"/>
        <v>1500.4518811951002</v>
      </c>
      <c r="AG65" s="161">
        <f t="shared" ref="AG65:AG66" si="189">B65/B$63</f>
        <v>4.7432176427146464E-2</v>
      </c>
      <c r="AH65" s="161">
        <f t="shared" si="187"/>
        <v>4.7431962675450981E-2</v>
      </c>
      <c r="AI65" s="161">
        <f t="shared" si="187"/>
        <v>4.7431763985980112E-2</v>
      </c>
      <c r="AJ65" s="161">
        <f t="shared" si="187"/>
        <v>4.7431578820856066E-2</v>
      </c>
      <c r="AK65" s="161">
        <f t="shared" si="187"/>
        <v>4.7431405844670038E-2</v>
      </c>
      <c r="AL65" s="133">
        <v>4.7431243892223918E-2</v>
      </c>
      <c r="AM65" s="133">
        <v>4.7431243892223918E-2</v>
      </c>
      <c r="AN65" s="133">
        <v>4.7431243892223911E-2</v>
      </c>
      <c r="AO65" s="133">
        <v>4.7431243892223911E-2</v>
      </c>
      <c r="AP65" s="133">
        <v>4.7431243892223911E-2</v>
      </c>
      <c r="AQ65" s="133">
        <v>4.7431243892223925E-2</v>
      </c>
      <c r="AR65" s="133">
        <v>4.7431243892223925E-2</v>
      </c>
      <c r="AS65" s="133">
        <v>4.7431243892223925E-2</v>
      </c>
      <c r="AT65" s="133">
        <v>4.7431243892223925E-2</v>
      </c>
      <c r="AU65" s="133">
        <v>4.7431243892223925E-2</v>
      </c>
      <c r="AV65" s="133">
        <v>4.7431243892223925E-2</v>
      </c>
      <c r="AW65" s="133">
        <v>4.7431243892223925E-2</v>
      </c>
      <c r="AX65" s="133">
        <v>4.7431243892223925E-2</v>
      </c>
      <c r="AY65" s="133">
        <v>4.7431243892223925E-2</v>
      </c>
      <c r="AZ65" s="133">
        <v>4.7431243892223925E-2</v>
      </c>
      <c r="BA65" s="133">
        <v>4.7431243892223925E-2</v>
      </c>
      <c r="BB65" s="133">
        <v>4.7431243892223925E-2</v>
      </c>
      <c r="BC65" s="133">
        <v>4.7431243892223925E-2</v>
      </c>
      <c r="BD65" s="133">
        <v>4.7431243892223925E-2</v>
      </c>
      <c r="BE65" s="133">
        <v>4.7431243892223925E-2</v>
      </c>
      <c r="BF65" s="135">
        <v>4.7431243892223925E-2</v>
      </c>
      <c r="BG65" s="135">
        <v>4.7431243892223925E-2</v>
      </c>
      <c r="BH65" s="135">
        <v>4.7431243892223925E-2</v>
      </c>
      <c r="BI65" s="135">
        <v>4.7431243892223925E-2</v>
      </c>
      <c r="BJ65" s="135">
        <v>4.7431243892223925E-2</v>
      </c>
      <c r="BK65" s="135">
        <v>4.7431243892223925E-2</v>
      </c>
    </row>
    <row r="66" spans="1:63" x14ac:dyDescent="0.35">
      <c r="A66" s="65" t="s">
        <v>30</v>
      </c>
      <c r="B66" s="75">
        <f>'Initial demand info'!F40</f>
        <v>25431.495450000002</v>
      </c>
      <c r="C66" s="128">
        <f t="shared" si="179"/>
        <v>26395.466761911008</v>
      </c>
      <c r="D66" s="128">
        <f t="shared" si="179"/>
        <v>27359.438073822013</v>
      </c>
      <c r="E66" s="128">
        <f t="shared" si="179"/>
        <v>28323.409385733019</v>
      </c>
      <c r="F66" s="128">
        <f t="shared" si="179"/>
        <v>29287.380697644025</v>
      </c>
      <c r="G66" s="133">
        <f t="shared" si="188"/>
        <v>30251.352009555034</v>
      </c>
      <c r="H66" s="133">
        <f t="shared" si="185"/>
        <v>29962.743080210432</v>
      </c>
      <c r="I66" s="133">
        <f t="shared" si="185"/>
        <v>29674.13415086583</v>
      </c>
      <c r="J66" s="133">
        <f t="shared" si="185"/>
        <v>29385.525221521228</v>
      </c>
      <c r="K66" s="133">
        <f t="shared" si="185"/>
        <v>29096.916292176626</v>
      </c>
      <c r="L66" s="133">
        <f t="shared" si="185"/>
        <v>28808.307362832027</v>
      </c>
      <c r="M66" s="133">
        <f t="shared" si="185"/>
        <v>28291.35673733634</v>
      </c>
      <c r="N66" s="133">
        <f t="shared" si="185"/>
        <v>27774.406111840653</v>
      </c>
      <c r="O66" s="133">
        <f t="shared" si="185"/>
        <v>27257.455486344963</v>
      </c>
      <c r="P66" s="133">
        <f t="shared" si="185"/>
        <v>26740.504860849276</v>
      </c>
      <c r="Q66" s="133">
        <f t="shared" si="185"/>
        <v>26223.554235353578</v>
      </c>
      <c r="R66" s="133">
        <f t="shared" si="185"/>
        <v>26054.272294827104</v>
      </c>
      <c r="S66" s="133">
        <f t="shared" si="185"/>
        <v>25884.990354300633</v>
      </c>
      <c r="T66" s="133">
        <f t="shared" si="185"/>
        <v>25715.708413774159</v>
      </c>
      <c r="U66" s="133">
        <f t="shared" si="185"/>
        <v>25546.426473247688</v>
      </c>
      <c r="V66" s="133">
        <f t="shared" si="185"/>
        <v>25377.14453272121</v>
      </c>
      <c r="W66" s="133">
        <f t="shared" si="185"/>
        <v>25276.236093573778</v>
      </c>
      <c r="X66" s="133">
        <f t="shared" si="186"/>
        <v>25175.327654426343</v>
      </c>
      <c r="Y66" s="133">
        <f t="shared" si="186"/>
        <v>25074.419215278911</v>
      </c>
      <c r="Z66" s="133">
        <f t="shared" si="186"/>
        <v>24973.510776131476</v>
      </c>
      <c r="AA66" s="133">
        <f t="shared" si="186"/>
        <v>24872.60233698403</v>
      </c>
      <c r="AB66" s="133">
        <f t="shared" si="186"/>
        <v>24726.688387040245</v>
      </c>
      <c r="AC66" s="133">
        <f t="shared" si="186"/>
        <v>24580.774437096457</v>
      </c>
      <c r="AD66" s="133">
        <f t="shared" si="186"/>
        <v>24434.86048715267</v>
      </c>
      <c r="AE66" s="133">
        <f t="shared" si="186"/>
        <v>24288.946537208882</v>
      </c>
      <c r="AF66" s="133">
        <f t="shared" si="186"/>
        <v>24143.032587265094</v>
      </c>
      <c r="AG66" s="161">
        <f t="shared" si="189"/>
        <v>0.76319057331563145</v>
      </c>
      <c r="AH66" s="161">
        <f t="shared" si="187"/>
        <v>0.76319108286196902</v>
      </c>
      <c r="AI66" s="161">
        <f t="shared" si="187"/>
        <v>0.76319155650261994</v>
      </c>
      <c r="AJ66" s="161">
        <f t="shared" si="187"/>
        <v>0.76319199790361358</v>
      </c>
      <c r="AK66" s="161">
        <f t="shared" si="187"/>
        <v>0.76319241024832907</v>
      </c>
      <c r="AL66" s="66">
        <v>0.7631927963143933</v>
      </c>
      <c r="AM66" s="66">
        <v>0.7631927963143933</v>
      </c>
      <c r="AN66" s="66">
        <v>0.7631927963143933</v>
      </c>
      <c r="AO66" s="66">
        <v>0.7631927963143933</v>
      </c>
      <c r="AP66" s="66">
        <v>0.7631927963143933</v>
      </c>
      <c r="AQ66" s="66">
        <v>0.76319279631439352</v>
      </c>
      <c r="AR66" s="66">
        <v>0.76319279631439352</v>
      </c>
      <c r="AS66" s="66">
        <v>0.76319279631439352</v>
      </c>
      <c r="AT66" s="66">
        <v>0.76319279631439352</v>
      </c>
      <c r="AU66" s="66">
        <v>0.76319279631439352</v>
      </c>
      <c r="AV66" s="66">
        <v>0.76319279631439352</v>
      </c>
      <c r="AW66" s="66">
        <v>0.76319279631439352</v>
      </c>
      <c r="AX66" s="66">
        <v>0.76319279631439352</v>
      </c>
      <c r="AY66" s="66">
        <v>0.76319279631439352</v>
      </c>
      <c r="AZ66" s="66">
        <v>0.76319279631439352</v>
      </c>
      <c r="BA66" s="66">
        <v>0.76319279631439352</v>
      </c>
      <c r="BB66" s="66">
        <v>0.76319279631439352</v>
      </c>
      <c r="BC66" s="66">
        <v>0.76319279631439352</v>
      </c>
      <c r="BD66" s="66">
        <v>0.76319279631439352</v>
      </c>
      <c r="BE66" s="66">
        <v>0.76319279631439352</v>
      </c>
      <c r="BF66" s="68">
        <v>0.76319279631439352</v>
      </c>
      <c r="BG66" s="68">
        <v>0.76319279631439352</v>
      </c>
      <c r="BH66" s="68">
        <v>0.76319279631439352</v>
      </c>
      <c r="BI66" s="68">
        <v>0.76319279631439352</v>
      </c>
      <c r="BJ66" s="68">
        <v>0.76319279631439352</v>
      </c>
      <c r="BK66" s="68">
        <v>0.76319279631439352</v>
      </c>
    </row>
    <row r="69" spans="1:63" x14ac:dyDescent="0.35">
      <c r="A69" t="s">
        <v>52</v>
      </c>
      <c r="B69" t="s">
        <v>16</v>
      </c>
      <c r="C69" t="s">
        <v>17</v>
      </c>
      <c r="D69" t="s">
        <v>18</v>
      </c>
      <c r="E69" t="s">
        <v>19</v>
      </c>
      <c r="F69" t="s">
        <v>20</v>
      </c>
      <c r="G69" t="s">
        <v>21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t="s">
        <v>37</v>
      </c>
      <c r="N69" t="s">
        <v>54</v>
      </c>
      <c r="O69" t="s">
        <v>55</v>
      </c>
      <c r="P69" t="s">
        <v>56</v>
      </c>
      <c r="Q69" t="s">
        <v>57</v>
      </c>
      <c r="R69" t="s">
        <v>58</v>
      </c>
      <c r="S69" t="s">
        <v>59</v>
      </c>
      <c r="T69" t="s">
        <v>60</v>
      </c>
      <c r="U69" t="s">
        <v>61</v>
      </c>
      <c r="V69" t="s">
        <v>62</v>
      </c>
      <c r="W69" t="s">
        <v>85</v>
      </c>
      <c r="X69" t="s">
        <v>86</v>
      </c>
      <c r="Y69" t="s">
        <v>87</v>
      </c>
      <c r="Z69" t="s">
        <v>88</v>
      </c>
      <c r="AA69" t="s">
        <v>89</v>
      </c>
      <c r="AB69" t="s">
        <v>126</v>
      </c>
      <c r="AC69" t="s">
        <v>127</v>
      </c>
      <c r="AD69" t="s">
        <v>128</v>
      </c>
      <c r="AE69" t="s">
        <v>129</v>
      </c>
      <c r="AF69" t="s">
        <v>118</v>
      </c>
    </row>
    <row r="70" spans="1:63" x14ac:dyDescent="0.35">
      <c r="A70" t="s">
        <v>53</v>
      </c>
      <c r="B70">
        <f>B56</f>
        <v>342052.6</v>
      </c>
      <c r="C70">
        <f t="shared" ref="C70:AF70" si="190">C56</f>
        <v>342052.6</v>
      </c>
      <c r="D70">
        <f t="shared" si="190"/>
        <v>342052.6</v>
      </c>
      <c r="E70">
        <f t="shared" si="190"/>
        <v>342052.6</v>
      </c>
      <c r="F70">
        <f t="shared" si="190"/>
        <v>342052.6</v>
      </c>
      <c r="G70">
        <f t="shared" si="190"/>
        <v>342052.6</v>
      </c>
      <c r="H70">
        <f t="shared" si="190"/>
        <v>342052.6</v>
      </c>
      <c r="I70">
        <f t="shared" si="190"/>
        <v>342052.6</v>
      </c>
      <c r="J70">
        <f t="shared" si="190"/>
        <v>342052.6</v>
      </c>
      <c r="K70">
        <f t="shared" si="190"/>
        <v>342052.6</v>
      </c>
      <c r="L70">
        <f t="shared" si="190"/>
        <v>342052.6</v>
      </c>
      <c r="M70">
        <f t="shared" si="190"/>
        <v>342052.59999999992</v>
      </c>
      <c r="N70">
        <f t="shared" si="190"/>
        <v>342052.59999999986</v>
      </c>
      <c r="O70">
        <f t="shared" si="190"/>
        <v>342052.5999999998</v>
      </c>
      <c r="P70">
        <f t="shared" si="190"/>
        <v>342052.59999999974</v>
      </c>
      <c r="Q70">
        <f t="shared" si="190"/>
        <v>342052.59999999974</v>
      </c>
      <c r="R70">
        <f t="shared" si="190"/>
        <v>342052.59999999974</v>
      </c>
      <c r="S70">
        <f t="shared" si="190"/>
        <v>342052.59999999974</v>
      </c>
      <c r="T70">
        <f t="shared" si="190"/>
        <v>342052.59999999974</v>
      </c>
      <c r="U70">
        <f t="shared" si="190"/>
        <v>342052.59999999974</v>
      </c>
      <c r="V70">
        <f t="shared" si="190"/>
        <v>342052.59999999974</v>
      </c>
      <c r="W70">
        <f t="shared" si="190"/>
        <v>342052.59999999974</v>
      </c>
      <c r="X70">
        <f t="shared" si="190"/>
        <v>342052.59999999974</v>
      </c>
      <c r="Y70">
        <f t="shared" si="190"/>
        <v>342052.59999999974</v>
      </c>
      <c r="Z70">
        <f t="shared" si="190"/>
        <v>342052.59999999974</v>
      </c>
      <c r="AA70">
        <f t="shared" si="190"/>
        <v>342052.59999999974</v>
      </c>
      <c r="AB70" s="63">
        <f t="shared" si="190"/>
        <v>342052.59999999974</v>
      </c>
      <c r="AC70" s="63">
        <f t="shared" si="190"/>
        <v>342052.59999999974</v>
      </c>
      <c r="AD70" s="63">
        <f t="shared" si="190"/>
        <v>342052.59999999974</v>
      </c>
      <c r="AE70" s="63">
        <f t="shared" si="190"/>
        <v>342052.59999999974</v>
      </c>
      <c r="AF70" s="63">
        <f t="shared" si="190"/>
        <v>342052.59999999974</v>
      </c>
    </row>
    <row r="71" spans="1:63" x14ac:dyDescent="0.35">
      <c r="A71" t="s">
        <v>32</v>
      </c>
      <c r="B71" s="63">
        <f>B63</f>
        <v>33322.601640000001</v>
      </c>
      <c r="C71" s="63">
        <f t="shared" ref="C71:AF71" si="191">C63</f>
        <v>34585.659285912938</v>
      </c>
      <c r="D71" s="63">
        <f t="shared" si="191"/>
        <v>35848.716931825875</v>
      </c>
      <c r="E71" s="63">
        <f t="shared" si="191"/>
        <v>37111.774577738812</v>
      </c>
      <c r="F71" s="63">
        <f t="shared" si="191"/>
        <v>38374.832223651749</v>
      </c>
      <c r="G71" s="63">
        <f t="shared" si="191"/>
        <v>39637.889869564686</v>
      </c>
      <c r="H71" s="63">
        <f t="shared" si="191"/>
        <v>39259.729946228996</v>
      </c>
      <c r="I71" s="63">
        <f t="shared" si="191"/>
        <v>38881.570022893306</v>
      </c>
      <c r="J71" s="63">
        <f t="shared" si="191"/>
        <v>38503.410099557615</v>
      </c>
      <c r="K71" s="63">
        <f t="shared" si="191"/>
        <v>38125.250176221925</v>
      </c>
      <c r="L71" s="63">
        <f t="shared" si="191"/>
        <v>37747.090252886228</v>
      </c>
      <c r="M71" s="63">
        <f t="shared" si="191"/>
        <v>37069.737652085823</v>
      </c>
      <c r="N71" s="63">
        <f t="shared" si="191"/>
        <v>36392.385051285419</v>
      </c>
      <c r="O71" s="63">
        <f t="shared" si="191"/>
        <v>35715.032450485014</v>
      </c>
      <c r="P71" s="63">
        <f t="shared" si="191"/>
        <v>35037.67984968461</v>
      </c>
      <c r="Q71" s="63">
        <f t="shared" si="191"/>
        <v>34360.32724888419</v>
      </c>
      <c r="R71" s="63">
        <f t="shared" si="191"/>
        <v>34138.519677659766</v>
      </c>
      <c r="S71" s="63">
        <f t="shared" si="191"/>
        <v>33916.712106435341</v>
      </c>
      <c r="T71" s="63">
        <f t="shared" si="191"/>
        <v>33694.904535210917</v>
      </c>
      <c r="U71" s="63">
        <f t="shared" si="191"/>
        <v>33473.096963986492</v>
      </c>
      <c r="V71" s="63">
        <f t="shared" si="191"/>
        <v>33251.289392762061</v>
      </c>
      <c r="W71" s="63">
        <f t="shared" si="191"/>
        <v>33119.070588241448</v>
      </c>
      <c r="X71" s="63">
        <f t="shared" si="191"/>
        <v>32986.851783720835</v>
      </c>
      <c r="Y71" s="63">
        <f t="shared" si="191"/>
        <v>32854.632979200222</v>
      </c>
      <c r="Z71" s="63">
        <f t="shared" si="191"/>
        <v>32722.414174679605</v>
      </c>
      <c r="AA71" s="63">
        <f t="shared" si="191"/>
        <v>32590.195370158977</v>
      </c>
      <c r="AB71" s="63">
        <f t="shared" si="191"/>
        <v>32399.006524236382</v>
      </c>
      <c r="AC71" s="63">
        <f t="shared" si="191"/>
        <v>32207.817678313786</v>
      </c>
      <c r="AD71" s="63">
        <f t="shared" si="191"/>
        <v>32016.62883239119</v>
      </c>
      <c r="AE71" s="63">
        <f t="shared" si="191"/>
        <v>31825.439986468595</v>
      </c>
      <c r="AF71" s="63">
        <f t="shared" si="191"/>
        <v>31634.251140545999</v>
      </c>
    </row>
    <row r="72" spans="1:63" x14ac:dyDescent="0.35">
      <c r="A72" t="s">
        <v>6</v>
      </c>
      <c r="B72" s="63">
        <f>B23</f>
        <v>336996.20653999998</v>
      </c>
      <c r="C72" s="63">
        <f t="shared" ref="C72:AF72" si="192">C23</f>
        <v>350518.87592276727</v>
      </c>
      <c r="D72" s="63">
        <f t="shared" si="192"/>
        <v>364041.54530553456</v>
      </c>
      <c r="E72" s="63">
        <f t="shared" si="192"/>
        <v>377564.21468830184</v>
      </c>
      <c r="F72" s="63">
        <f t="shared" si="192"/>
        <v>391086.88407106913</v>
      </c>
      <c r="G72" s="63">
        <f t="shared" si="192"/>
        <v>404609.55345383642</v>
      </c>
      <c r="H72" s="63">
        <f t="shared" si="192"/>
        <v>397162.89661415468</v>
      </c>
      <c r="I72" s="63">
        <f t="shared" si="192"/>
        <v>389716.23977447295</v>
      </c>
      <c r="J72" s="63">
        <f t="shared" si="192"/>
        <v>382269.58293479122</v>
      </c>
      <c r="K72" s="63">
        <f t="shared" si="192"/>
        <v>374822.92609510949</v>
      </c>
      <c r="L72" s="63">
        <f t="shared" si="192"/>
        <v>367376.26925542764</v>
      </c>
      <c r="M72" s="63">
        <f t="shared" si="192"/>
        <v>362849.88585341902</v>
      </c>
      <c r="N72" s="63">
        <f t="shared" si="192"/>
        <v>358323.5024514104</v>
      </c>
      <c r="O72" s="63">
        <f t="shared" si="192"/>
        <v>353797.11904940178</v>
      </c>
      <c r="P72" s="63">
        <f t="shared" si="192"/>
        <v>349270.73564739316</v>
      </c>
      <c r="Q72" s="63">
        <f t="shared" si="192"/>
        <v>344744.35224538465</v>
      </c>
      <c r="R72" s="63">
        <f t="shared" si="192"/>
        <v>339041.01782111067</v>
      </c>
      <c r="S72" s="63">
        <f t="shared" si="192"/>
        <v>333337.68339683668</v>
      </c>
      <c r="T72" s="63">
        <f t="shared" si="192"/>
        <v>327634.3489725627</v>
      </c>
      <c r="U72" s="63">
        <f t="shared" si="192"/>
        <v>321931.01454828872</v>
      </c>
      <c r="V72" s="63">
        <f t="shared" si="192"/>
        <v>316227.68012401467</v>
      </c>
      <c r="W72" s="63">
        <f t="shared" si="192"/>
        <v>311445.94841352111</v>
      </c>
      <c r="X72" s="63">
        <f t="shared" si="192"/>
        <v>306664.21670302755</v>
      </c>
      <c r="Y72" s="63">
        <f t="shared" si="192"/>
        <v>301882.48499253398</v>
      </c>
      <c r="Z72" s="63">
        <f t="shared" si="192"/>
        <v>297100.75328204042</v>
      </c>
      <c r="AA72" s="63">
        <f t="shared" si="192"/>
        <v>292319.02157154679</v>
      </c>
      <c r="AB72" s="63">
        <f t="shared" si="192"/>
        <v>290092.72526839352</v>
      </c>
      <c r="AC72" s="63">
        <f t="shared" si="192"/>
        <v>287866.42896524025</v>
      </c>
      <c r="AD72" s="63">
        <f t="shared" si="192"/>
        <v>285640.13266208698</v>
      </c>
      <c r="AE72" s="63">
        <f t="shared" si="192"/>
        <v>283413.83635893371</v>
      </c>
      <c r="AF72" s="63">
        <f t="shared" si="192"/>
        <v>281187.54005578056</v>
      </c>
    </row>
    <row r="73" spans="1:63" x14ac:dyDescent="0.35">
      <c r="A73" t="s">
        <v>5</v>
      </c>
      <c r="B73" s="63">
        <f>B15</f>
        <v>272762.75125000003</v>
      </c>
      <c r="C73" s="63">
        <f t="shared" ref="C73:AF73" si="193">C15</f>
        <v>276354.15161996341</v>
      </c>
      <c r="D73" s="63">
        <f t="shared" si="193"/>
        <v>279945.55198992678</v>
      </c>
      <c r="E73" s="63">
        <f t="shared" si="193"/>
        <v>283536.95235989016</v>
      </c>
      <c r="F73" s="63">
        <f t="shared" si="193"/>
        <v>287128.35272985353</v>
      </c>
      <c r="G73" s="63">
        <f t="shared" si="193"/>
        <v>290719.75309981685</v>
      </c>
      <c r="H73" s="63">
        <f t="shared" si="193"/>
        <v>288562.06589943968</v>
      </c>
      <c r="I73" s="63">
        <f t="shared" si="193"/>
        <v>286404.37869906251</v>
      </c>
      <c r="J73" s="63">
        <f t="shared" si="193"/>
        <v>284246.69149868534</v>
      </c>
      <c r="K73" s="63">
        <f t="shared" si="193"/>
        <v>282089.00429830817</v>
      </c>
      <c r="L73" s="63">
        <f t="shared" si="193"/>
        <v>279931.31709793111</v>
      </c>
      <c r="M73" s="63">
        <f t="shared" si="193"/>
        <v>276555.98091582919</v>
      </c>
      <c r="N73" s="63">
        <f t="shared" si="193"/>
        <v>273180.64473372727</v>
      </c>
      <c r="O73" s="63">
        <f t="shared" si="193"/>
        <v>269805.30855162535</v>
      </c>
      <c r="P73" s="63">
        <f t="shared" si="193"/>
        <v>266429.97236952343</v>
      </c>
      <c r="Q73" s="63">
        <f t="shared" si="193"/>
        <v>263054.63618742139</v>
      </c>
      <c r="R73" s="63">
        <f t="shared" si="193"/>
        <v>260629.65205922737</v>
      </c>
      <c r="S73" s="63">
        <f t="shared" si="193"/>
        <v>258204.66793103336</v>
      </c>
      <c r="T73" s="63">
        <f t="shared" si="193"/>
        <v>255779.68380283934</v>
      </c>
      <c r="U73" s="63">
        <f t="shared" si="193"/>
        <v>253354.69967464532</v>
      </c>
      <c r="V73" s="63">
        <f t="shared" si="193"/>
        <v>250929.71554645128</v>
      </c>
      <c r="W73" s="63">
        <f t="shared" si="193"/>
        <v>249227.8935366779</v>
      </c>
      <c r="X73" s="63">
        <f t="shared" si="193"/>
        <v>247526.07152690453</v>
      </c>
      <c r="Y73" s="63">
        <f t="shared" si="193"/>
        <v>245824.24951713116</v>
      </c>
      <c r="Z73" s="63">
        <f t="shared" si="193"/>
        <v>244122.42750735779</v>
      </c>
      <c r="AA73" s="63">
        <f t="shared" si="193"/>
        <v>242420.60549758436</v>
      </c>
      <c r="AB73" s="63">
        <f t="shared" si="193"/>
        <v>244596.7463551907</v>
      </c>
      <c r="AC73" s="63">
        <f t="shared" si="193"/>
        <v>246772.88721279704</v>
      </c>
      <c r="AD73" s="63">
        <f t="shared" si="193"/>
        <v>248949.02807040338</v>
      </c>
      <c r="AE73" s="63">
        <f t="shared" si="193"/>
        <v>251125.16892800972</v>
      </c>
      <c r="AF73" s="63">
        <f t="shared" si="193"/>
        <v>253301.30978561606</v>
      </c>
    </row>
    <row r="74" spans="1:63" x14ac:dyDescent="0.35">
      <c r="A74" t="s">
        <v>4</v>
      </c>
      <c r="B74" s="63">
        <f>B8</f>
        <v>356529.17533000006</v>
      </c>
      <c r="C74" s="63">
        <f t="shared" ref="C74:AF74" si="194">C8</f>
        <v>354089.40575045662</v>
      </c>
      <c r="D74" s="63">
        <f t="shared" si="194"/>
        <v>351649.63617091317</v>
      </c>
      <c r="E74" s="63">
        <f t="shared" si="194"/>
        <v>349209.86659136973</v>
      </c>
      <c r="F74" s="63">
        <f t="shared" si="194"/>
        <v>346770.09701182629</v>
      </c>
      <c r="G74" s="63">
        <f t="shared" si="194"/>
        <v>344330.32743228285</v>
      </c>
      <c r="H74" s="63">
        <f t="shared" si="194"/>
        <v>339718.28746985708</v>
      </c>
      <c r="I74" s="63">
        <f t="shared" si="194"/>
        <v>335106.24750743131</v>
      </c>
      <c r="J74" s="63">
        <f t="shared" si="194"/>
        <v>330494.20754500554</v>
      </c>
      <c r="K74" s="63">
        <f t="shared" si="194"/>
        <v>325882.16758257977</v>
      </c>
      <c r="L74" s="63">
        <f t="shared" si="194"/>
        <v>321270.12762015389</v>
      </c>
      <c r="M74" s="63">
        <f t="shared" si="194"/>
        <v>319038.39765113703</v>
      </c>
      <c r="N74" s="63">
        <f t="shared" si="194"/>
        <v>316806.66768212017</v>
      </c>
      <c r="O74" s="63">
        <f t="shared" si="194"/>
        <v>314574.93771310331</v>
      </c>
      <c r="P74" s="63">
        <f t="shared" si="194"/>
        <v>312343.20774408645</v>
      </c>
      <c r="Q74" s="63">
        <f t="shared" si="194"/>
        <v>310111.47777506959</v>
      </c>
      <c r="R74" s="63">
        <f t="shared" si="194"/>
        <v>307655.50678473111</v>
      </c>
      <c r="S74" s="63">
        <f t="shared" si="194"/>
        <v>305199.53579439264</v>
      </c>
      <c r="T74" s="63">
        <f t="shared" si="194"/>
        <v>302743.56480405416</v>
      </c>
      <c r="U74" s="63">
        <f t="shared" si="194"/>
        <v>300287.59381371568</v>
      </c>
      <c r="V74" s="63">
        <f t="shared" si="194"/>
        <v>297831.6228233772</v>
      </c>
      <c r="W74" s="63">
        <f t="shared" si="194"/>
        <v>295253.191391712</v>
      </c>
      <c r="X74" s="63">
        <f t="shared" si="194"/>
        <v>292674.75996004679</v>
      </c>
      <c r="Y74" s="63">
        <f t="shared" si="194"/>
        <v>290096.32852838159</v>
      </c>
      <c r="Z74" s="63">
        <f t="shared" si="194"/>
        <v>287517.89709671639</v>
      </c>
      <c r="AA74" s="63">
        <f t="shared" si="194"/>
        <v>284939.46566505113</v>
      </c>
      <c r="AB74" s="63">
        <f t="shared" si="194"/>
        <v>282321.84974926914</v>
      </c>
      <c r="AC74" s="63">
        <f t="shared" si="194"/>
        <v>279704.23383348715</v>
      </c>
      <c r="AD74" s="63">
        <f t="shared" si="194"/>
        <v>277086.61791770515</v>
      </c>
      <c r="AE74" s="63">
        <f t="shared" si="194"/>
        <v>274469.00200192316</v>
      </c>
      <c r="AF74" s="63">
        <f t="shared" si="194"/>
        <v>271851.38608614117</v>
      </c>
    </row>
    <row r="75" spans="1:63" x14ac:dyDescent="0.35">
      <c r="A75" t="s">
        <v>31</v>
      </c>
      <c r="B75" s="63">
        <f>B49</f>
        <v>192564.53910000002</v>
      </c>
      <c r="C75" s="63">
        <f t="shared" ref="C75:AF75" si="195">C49</f>
        <v>194986.62032385284</v>
      </c>
      <c r="D75" s="63">
        <f t="shared" si="195"/>
        <v>197408.70154770566</v>
      </c>
      <c r="E75" s="63">
        <f t="shared" si="195"/>
        <v>199830.78277155847</v>
      </c>
      <c r="F75" s="63">
        <f t="shared" si="195"/>
        <v>202252.86399541129</v>
      </c>
      <c r="G75" s="63">
        <f t="shared" si="195"/>
        <v>204674.94521926413</v>
      </c>
      <c r="H75" s="63">
        <f t="shared" si="195"/>
        <v>202722.27160703222</v>
      </c>
      <c r="I75" s="63">
        <f t="shared" si="195"/>
        <v>200769.59799480031</v>
      </c>
      <c r="J75" s="63">
        <f t="shared" si="195"/>
        <v>198816.9243825684</v>
      </c>
      <c r="K75" s="63">
        <f t="shared" si="195"/>
        <v>196864.25077033648</v>
      </c>
      <c r="L75" s="63">
        <f t="shared" si="195"/>
        <v>194911.57715810454</v>
      </c>
      <c r="M75" s="63">
        <f t="shared" si="195"/>
        <v>191413.98667286028</v>
      </c>
      <c r="N75" s="63">
        <f t="shared" si="195"/>
        <v>187916.39618761602</v>
      </c>
      <c r="O75" s="63">
        <f t="shared" si="195"/>
        <v>184418.80570237176</v>
      </c>
      <c r="P75" s="63">
        <f t="shared" si="195"/>
        <v>180921.21521712749</v>
      </c>
      <c r="Q75" s="63">
        <f t="shared" si="195"/>
        <v>177423.62473188323</v>
      </c>
      <c r="R75" s="63">
        <f t="shared" si="195"/>
        <v>176278.29503247267</v>
      </c>
      <c r="S75" s="63">
        <f t="shared" si="195"/>
        <v>175132.96533306211</v>
      </c>
      <c r="T75" s="63">
        <f t="shared" si="195"/>
        <v>173987.63563365155</v>
      </c>
      <c r="U75" s="63">
        <f t="shared" si="195"/>
        <v>172842.30593424098</v>
      </c>
      <c r="V75" s="63">
        <f t="shared" si="195"/>
        <v>171696.97623483045</v>
      </c>
      <c r="W75" s="63">
        <f t="shared" si="195"/>
        <v>171014.24875712502</v>
      </c>
      <c r="X75" s="63">
        <f t="shared" si="195"/>
        <v>170331.5212794196</v>
      </c>
      <c r="Y75" s="63">
        <f t="shared" si="195"/>
        <v>169648.79380171417</v>
      </c>
      <c r="Z75" s="63">
        <f t="shared" si="195"/>
        <v>168966.06632400875</v>
      </c>
      <c r="AA75" s="63">
        <f t="shared" si="195"/>
        <v>168283.33884630326</v>
      </c>
      <c r="AB75" s="63">
        <f t="shared" si="195"/>
        <v>167296.11256623358</v>
      </c>
      <c r="AC75" s="63">
        <f t="shared" si="195"/>
        <v>166308.88628616391</v>
      </c>
      <c r="AD75" s="63">
        <f t="shared" si="195"/>
        <v>165321.66000609423</v>
      </c>
      <c r="AE75" s="63">
        <f t="shared" si="195"/>
        <v>164334.43372602455</v>
      </c>
      <c r="AF75" s="63">
        <f t="shared" si="195"/>
        <v>163347.2074459549</v>
      </c>
    </row>
    <row r="77" spans="1:63" x14ac:dyDescent="0.35">
      <c r="A77" s="39" t="s">
        <v>63</v>
      </c>
      <c r="B77" t="s">
        <v>53</v>
      </c>
      <c r="C77" t="s">
        <v>32</v>
      </c>
      <c r="D77" t="s">
        <v>6</v>
      </c>
      <c r="E77" t="s">
        <v>5</v>
      </c>
      <c r="F77" t="s">
        <v>4</v>
      </c>
      <c r="G77" t="s">
        <v>31</v>
      </c>
    </row>
    <row r="78" spans="1:63" x14ac:dyDescent="0.35">
      <c r="A78">
        <v>2020</v>
      </c>
      <c r="B78">
        <v>342052.6</v>
      </c>
      <c r="C78">
        <v>33322.601640000001</v>
      </c>
      <c r="D78">
        <v>336996.20653999998</v>
      </c>
      <c r="E78">
        <v>272762.75125000003</v>
      </c>
      <c r="F78">
        <v>356529.17533000006</v>
      </c>
      <c r="G78">
        <v>192564.53910000002</v>
      </c>
    </row>
    <row r="79" spans="1:63" x14ac:dyDescent="0.35">
      <c r="A79">
        <v>2021</v>
      </c>
      <c r="B79">
        <v>342052.6</v>
      </c>
      <c r="C79">
        <v>34585.659285912938</v>
      </c>
      <c r="D79">
        <v>350518.87592276727</v>
      </c>
      <c r="E79">
        <v>276354.15161996341</v>
      </c>
      <c r="F79">
        <v>354089.40575045662</v>
      </c>
      <c r="G79">
        <v>194986.62032385284</v>
      </c>
    </row>
    <row r="80" spans="1:63" x14ac:dyDescent="0.35">
      <c r="A80">
        <v>2022</v>
      </c>
      <c r="B80">
        <v>342052.6</v>
      </c>
      <c r="C80">
        <v>35848.716931825875</v>
      </c>
      <c r="D80">
        <v>364041.54530553456</v>
      </c>
      <c r="E80">
        <v>279945.55198992678</v>
      </c>
      <c r="F80">
        <v>351649.63617091317</v>
      </c>
      <c r="G80">
        <v>197408.70154770566</v>
      </c>
    </row>
    <row r="81" spans="1:7" x14ac:dyDescent="0.35">
      <c r="A81">
        <v>2023</v>
      </c>
      <c r="B81">
        <v>342052.6</v>
      </c>
      <c r="C81">
        <v>37111.774577738812</v>
      </c>
      <c r="D81">
        <v>377564.21468830184</v>
      </c>
      <c r="E81">
        <v>283536.95235989016</v>
      </c>
      <c r="F81">
        <v>349209.86659136973</v>
      </c>
      <c r="G81">
        <v>199830.78277155847</v>
      </c>
    </row>
    <row r="82" spans="1:7" x14ac:dyDescent="0.35">
      <c r="A82">
        <v>2024</v>
      </c>
      <c r="B82">
        <v>342052.6</v>
      </c>
      <c r="C82">
        <v>38374.832223651749</v>
      </c>
      <c r="D82">
        <v>391086.88407106913</v>
      </c>
      <c r="E82">
        <v>287128.35272985353</v>
      </c>
      <c r="F82">
        <v>346770.09701182629</v>
      </c>
      <c r="G82">
        <v>202252.86399541129</v>
      </c>
    </row>
    <row r="83" spans="1:7" x14ac:dyDescent="0.35">
      <c r="A83">
        <v>2025</v>
      </c>
      <c r="B83">
        <v>342052.6</v>
      </c>
      <c r="C83">
        <v>39637.889869564686</v>
      </c>
      <c r="D83">
        <v>404609.55345383642</v>
      </c>
      <c r="E83">
        <v>290719.75309981685</v>
      </c>
      <c r="F83">
        <v>344330.32743228285</v>
      </c>
      <c r="G83">
        <v>204674.94521926413</v>
      </c>
    </row>
    <row r="84" spans="1:7" x14ac:dyDescent="0.35">
      <c r="A84">
        <v>2026</v>
      </c>
      <c r="B84">
        <v>342052.6</v>
      </c>
      <c r="C84">
        <v>39259.729946228996</v>
      </c>
      <c r="D84">
        <v>397162.89661415468</v>
      </c>
      <c r="E84">
        <v>288562.06589943968</v>
      </c>
      <c r="F84">
        <v>339718.28746985708</v>
      </c>
      <c r="G84">
        <v>202722.27160703222</v>
      </c>
    </row>
    <row r="85" spans="1:7" x14ac:dyDescent="0.35">
      <c r="A85">
        <v>2027</v>
      </c>
      <c r="B85">
        <v>342052.6</v>
      </c>
      <c r="C85">
        <v>38881.570022893306</v>
      </c>
      <c r="D85">
        <v>389716.23977447295</v>
      </c>
      <c r="E85">
        <v>286404.37869906251</v>
      </c>
      <c r="F85">
        <v>335106.24750743131</v>
      </c>
      <c r="G85">
        <v>200769.59799480031</v>
      </c>
    </row>
    <row r="86" spans="1:7" x14ac:dyDescent="0.35">
      <c r="A86">
        <v>2028</v>
      </c>
      <c r="B86">
        <v>342052.6</v>
      </c>
      <c r="C86">
        <v>38503.410099557615</v>
      </c>
      <c r="D86">
        <v>382269.58293479122</v>
      </c>
      <c r="E86">
        <v>284246.69149868534</v>
      </c>
      <c r="F86">
        <v>330494.20754500554</v>
      </c>
      <c r="G86">
        <v>198816.9243825684</v>
      </c>
    </row>
    <row r="87" spans="1:7" x14ac:dyDescent="0.35">
      <c r="A87">
        <v>2029</v>
      </c>
      <c r="B87">
        <v>342052.6</v>
      </c>
      <c r="C87">
        <v>38125.250176221925</v>
      </c>
      <c r="D87">
        <v>374822.92609510949</v>
      </c>
      <c r="E87">
        <v>282089.00429830817</v>
      </c>
      <c r="F87">
        <v>325882.16758257977</v>
      </c>
      <c r="G87">
        <v>196864.25077033648</v>
      </c>
    </row>
    <row r="88" spans="1:7" x14ac:dyDescent="0.35">
      <c r="A88">
        <v>2030</v>
      </c>
      <c r="B88">
        <v>342052.6</v>
      </c>
      <c r="C88">
        <v>37747.090252886228</v>
      </c>
      <c r="D88">
        <v>367376.26925542764</v>
      </c>
      <c r="E88">
        <v>279931.31709793111</v>
      </c>
      <c r="F88">
        <v>321270.12762015389</v>
      </c>
      <c r="G88">
        <v>194911.57715810454</v>
      </c>
    </row>
    <row r="89" spans="1:7" x14ac:dyDescent="0.35">
      <c r="A89">
        <v>2031</v>
      </c>
      <c r="B89">
        <v>342052.59999999992</v>
      </c>
      <c r="C89">
        <v>37069.737652085823</v>
      </c>
      <c r="D89">
        <v>362849.88585341902</v>
      </c>
      <c r="E89">
        <v>276555.98091582919</v>
      </c>
      <c r="F89">
        <v>319038.39765113703</v>
      </c>
      <c r="G89">
        <v>191413.98667286028</v>
      </c>
    </row>
    <row r="90" spans="1:7" x14ac:dyDescent="0.35">
      <c r="A90">
        <v>2032</v>
      </c>
      <c r="B90">
        <v>342052.59999999986</v>
      </c>
      <c r="C90">
        <v>36392.385051285419</v>
      </c>
      <c r="D90">
        <v>358323.5024514104</v>
      </c>
      <c r="E90">
        <v>273180.64473372727</v>
      </c>
      <c r="F90">
        <v>316806.66768212017</v>
      </c>
      <c r="G90">
        <v>187916.39618761602</v>
      </c>
    </row>
    <row r="91" spans="1:7" x14ac:dyDescent="0.35">
      <c r="A91">
        <v>2033</v>
      </c>
      <c r="B91">
        <v>342052.5999999998</v>
      </c>
      <c r="C91">
        <v>35715.032450485014</v>
      </c>
      <c r="D91">
        <v>353797.11904940178</v>
      </c>
      <c r="E91">
        <v>269805.30855162535</v>
      </c>
      <c r="F91">
        <v>314574.93771310331</v>
      </c>
      <c r="G91">
        <v>184418.80570237176</v>
      </c>
    </row>
    <row r="92" spans="1:7" x14ac:dyDescent="0.35">
      <c r="A92">
        <v>2034</v>
      </c>
      <c r="B92">
        <v>342052.59999999974</v>
      </c>
      <c r="C92">
        <v>35037.67984968461</v>
      </c>
      <c r="D92">
        <v>349270.73564739316</v>
      </c>
      <c r="E92">
        <v>266429.97236952343</v>
      </c>
      <c r="F92">
        <v>312343.20774408645</v>
      </c>
      <c r="G92">
        <v>180921.21521712749</v>
      </c>
    </row>
    <row r="93" spans="1:7" x14ac:dyDescent="0.35">
      <c r="A93">
        <v>2035</v>
      </c>
      <c r="B93">
        <v>342052.59999999974</v>
      </c>
      <c r="C93">
        <v>34360.32724888419</v>
      </c>
      <c r="D93">
        <v>344744.35224538465</v>
      </c>
      <c r="E93">
        <v>263054.63618742139</v>
      </c>
      <c r="F93">
        <v>310111.47777506959</v>
      </c>
      <c r="G93">
        <v>177423.62473188323</v>
      </c>
    </row>
    <row r="94" spans="1:7" x14ac:dyDescent="0.35">
      <c r="A94">
        <v>2036</v>
      </c>
      <c r="B94">
        <v>342052.59999999974</v>
      </c>
      <c r="C94">
        <v>34138.519677659766</v>
      </c>
      <c r="D94">
        <v>339041.01782111067</v>
      </c>
      <c r="E94">
        <v>260629.65205922737</v>
      </c>
      <c r="F94">
        <v>307655.50678473111</v>
      </c>
      <c r="G94">
        <v>176278.29503247267</v>
      </c>
    </row>
    <row r="95" spans="1:7" x14ac:dyDescent="0.35">
      <c r="A95">
        <v>2037</v>
      </c>
      <c r="B95">
        <v>342052.59999999974</v>
      </c>
      <c r="C95">
        <v>33916.712106435341</v>
      </c>
      <c r="D95">
        <v>333337.68339683668</v>
      </c>
      <c r="E95">
        <v>258204.66793103336</v>
      </c>
      <c r="F95">
        <v>305199.53579439264</v>
      </c>
      <c r="G95">
        <v>175132.96533306211</v>
      </c>
    </row>
    <row r="96" spans="1:7" x14ac:dyDescent="0.35">
      <c r="A96">
        <v>2038</v>
      </c>
      <c r="B96">
        <v>342052.59999999974</v>
      </c>
      <c r="C96">
        <v>33694.904535210917</v>
      </c>
      <c r="D96">
        <v>327634.3489725627</v>
      </c>
      <c r="E96">
        <v>255779.68380283934</v>
      </c>
      <c r="F96">
        <v>302743.56480405416</v>
      </c>
      <c r="G96">
        <v>173987.63563365155</v>
      </c>
    </row>
    <row r="97" spans="1:30" x14ac:dyDescent="0.35">
      <c r="A97">
        <v>2039</v>
      </c>
      <c r="B97">
        <v>342052.59999999974</v>
      </c>
      <c r="C97">
        <v>33473.096963986492</v>
      </c>
      <c r="D97">
        <v>321931.01454828872</v>
      </c>
      <c r="E97">
        <v>253354.69967464532</v>
      </c>
      <c r="F97">
        <v>300287.59381371568</v>
      </c>
      <c r="G97">
        <v>172842.30593424098</v>
      </c>
    </row>
    <row r="98" spans="1:30" x14ac:dyDescent="0.35">
      <c r="A98">
        <v>2040</v>
      </c>
      <c r="B98">
        <v>342052.59999999974</v>
      </c>
      <c r="C98">
        <v>33251.289392762061</v>
      </c>
      <c r="D98">
        <v>316227.68012401467</v>
      </c>
      <c r="E98">
        <v>250929.71554645128</v>
      </c>
      <c r="F98">
        <v>297831.6228233772</v>
      </c>
      <c r="G98">
        <v>171696.97623483045</v>
      </c>
    </row>
    <row r="99" spans="1:30" x14ac:dyDescent="0.35">
      <c r="A99">
        <f>A98+1</f>
        <v>2041</v>
      </c>
      <c r="B99">
        <v>342052.59999999974</v>
      </c>
      <c r="C99">
        <v>33119.070588241448</v>
      </c>
      <c r="D99">
        <v>311445.94841352111</v>
      </c>
      <c r="E99">
        <v>249227.8935366779</v>
      </c>
      <c r="F99">
        <v>295253.191391712</v>
      </c>
      <c r="G99">
        <v>171014.24875712502</v>
      </c>
    </row>
    <row r="100" spans="1:30" x14ac:dyDescent="0.35">
      <c r="A100">
        <f>A99+1</f>
        <v>2042</v>
      </c>
      <c r="B100">
        <v>342052.59999999974</v>
      </c>
      <c r="C100">
        <v>32986.851783720835</v>
      </c>
      <c r="D100">
        <v>306664.21670302755</v>
      </c>
      <c r="E100">
        <v>247526.07152690453</v>
      </c>
      <c r="F100">
        <v>292674.75996004679</v>
      </c>
      <c r="G100">
        <v>170331.5212794196</v>
      </c>
    </row>
    <row r="101" spans="1:30" x14ac:dyDescent="0.35">
      <c r="A101">
        <f>A100+1</f>
        <v>2043</v>
      </c>
      <c r="B101">
        <v>342052.59999999974</v>
      </c>
      <c r="C101">
        <v>32854.632979200222</v>
      </c>
      <c r="D101">
        <v>301882.48499253398</v>
      </c>
      <c r="E101">
        <v>245824.24951713116</v>
      </c>
      <c r="F101">
        <v>290096.32852838159</v>
      </c>
      <c r="G101">
        <v>169648.79380171417</v>
      </c>
    </row>
    <row r="102" spans="1:30" x14ac:dyDescent="0.35">
      <c r="A102">
        <f>A101+1</f>
        <v>2044</v>
      </c>
      <c r="B102">
        <v>342052.59999999974</v>
      </c>
      <c r="C102">
        <v>32722.414174679605</v>
      </c>
      <c r="D102">
        <v>297100.75328204042</v>
      </c>
      <c r="E102">
        <v>244122.42750735779</v>
      </c>
      <c r="F102">
        <v>287517.89709671639</v>
      </c>
      <c r="G102">
        <v>168966.06632400875</v>
      </c>
    </row>
    <row r="103" spans="1:30" x14ac:dyDescent="0.35">
      <c r="A103">
        <f>A102+1</f>
        <v>2045</v>
      </c>
      <c r="B103">
        <v>342052.59999999974</v>
      </c>
      <c r="C103">
        <v>32590.195370158977</v>
      </c>
      <c r="D103">
        <v>292319.02157154679</v>
      </c>
      <c r="E103">
        <v>242420.60549758436</v>
      </c>
      <c r="F103">
        <v>284939.46566505113</v>
      </c>
      <c r="G103">
        <v>168283.33884630326</v>
      </c>
    </row>
    <row r="104" spans="1:30" x14ac:dyDescent="0.35">
      <c r="A104">
        <f t="shared" ref="A104:A107" si="196">A103+1</f>
        <v>2046</v>
      </c>
      <c r="B104">
        <v>342052.59999999974</v>
      </c>
      <c r="C104">
        <v>32399.006524236382</v>
      </c>
      <c r="D104">
        <v>290092.72526839352</v>
      </c>
      <c r="E104">
        <v>244596.7463551907</v>
      </c>
      <c r="F104">
        <v>282321.84974926914</v>
      </c>
      <c r="G104">
        <v>167296.11256623358</v>
      </c>
    </row>
    <row r="105" spans="1:30" x14ac:dyDescent="0.35">
      <c r="A105">
        <f t="shared" si="196"/>
        <v>2047</v>
      </c>
      <c r="B105">
        <v>342052.59999999974</v>
      </c>
      <c r="C105">
        <v>32207.817678313786</v>
      </c>
      <c r="D105">
        <v>287866.42896524025</v>
      </c>
      <c r="E105">
        <v>246772.88721279704</v>
      </c>
      <c r="F105">
        <v>279704.23383348715</v>
      </c>
      <c r="G105">
        <v>166308.88628616391</v>
      </c>
    </row>
    <row r="106" spans="1:30" x14ac:dyDescent="0.35">
      <c r="A106">
        <f t="shared" si="196"/>
        <v>2048</v>
      </c>
      <c r="B106">
        <v>342052.59999999974</v>
      </c>
      <c r="C106">
        <v>32016.62883239119</v>
      </c>
      <c r="D106">
        <v>285640.13266208698</v>
      </c>
      <c r="E106">
        <v>248949.02807040338</v>
      </c>
      <c r="F106">
        <v>277086.61791770515</v>
      </c>
      <c r="G106">
        <v>165321.66000609423</v>
      </c>
    </row>
    <row r="107" spans="1:30" x14ac:dyDescent="0.35">
      <c r="A107">
        <f t="shared" si="196"/>
        <v>2049</v>
      </c>
      <c r="B107">
        <v>342052.59999999974</v>
      </c>
      <c r="C107">
        <v>31825.439986468595</v>
      </c>
      <c r="D107">
        <v>283413.83635893371</v>
      </c>
      <c r="E107">
        <v>251125.16892800972</v>
      </c>
      <c r="F107">
        <v>274469.00200192316</v>
      </c>
      <c r="G107">
        <v>164334.43372602455</v>
      </c>
    </row>
    <row r="108" spans="1:30" x14ac:dyDescent="0.35">
      <c r="A108">
        <f>A107+1</f>
        <v>2050</v>
      </c>
      <c r="B108">
        <v>342052.59999999974</v>
      </c>
      <c r="C108">
        <v>31634.251140545999</v>
      </c>
      <c r="D108">
        <v>281187.54005578056</v>
      </c>
      <c r="E108">
        <v>253301.30978561606</v>
      </c>
      <c r="F108">
        <v>271851.38608614117</v>
      </c>
      <c r="G108">
        <v>163347.2074459549</v>
      </c>
    </row>
    <row r="111" spans="1:30" x14ac:dyDescent="0.35">
      <c r="A111" s="42"/>
      <c r="B111" s="188" t="s">
        <v>64</v>
      </c>
      <c r="C111" s="189"/>
      <c r="D111" s="189"/>
      <c r="E111" s="189"/>
      <c r="F111" s="190"/>
      <c r="G111" s="188" t="s">
        <v>65</v>
      </c>
      <c r="H111" s="189"/>
      <c r="I111" s="190"/>
      <c r="J111" s="188" t="s">
        <v>66</v>
      </c>
      <c r="K111" s="189"/>
      <c r="L111" s="189"/>
      <c r="M111" s="189"/>
      <c r="N111" s="190"/>
      <c r="O111" s="188" t="s">
        <v>67</v>
      </c>
      <c r="P111" s="189"/>
      <c r="Q111" s="189"/>
      <c r="R111" s="189"/>
      <c r="S111" s="189"/>
      <c r="T111" s="190"/>
      <c r="U111" s="188" t="s">
        <v>68</v>
      </c>
      <c r="V111" s="189"/>
      <c r="W111" s="189"/>
      <c r="X111" s="189"/>
      <c r="Y111" s="190"/>
      <c r="Z111" s="188" t="s">
        <v>69</v>
      </c>
      <c r="AA111" s="189"/>
      <c r="AB111" s="189"/>
      <c r="AC111" s="189"/>
      <c r="AD111" s="190"/>
    </row>
    <row r="112" spans="1:30" x14ac:dyDescent="0.35">
      <c r="A112" s="42" t="s">
        <v>78</v>
      </c>
      <c r="B112" s="42" t="s">
        <v>70</v>
      </c>
      <c r="C112" s="42" t="s">
        <v>71</v>
      </c>
      <c r="D112" s="42" t="s">
        <v>72</v>
      </c>
      <c r="E112" s="42" t="s">
        <v>73</v>
      </c>
      <c r="F112" s="42" t="s">
        <v>74</v>
      </c>
      <c r="G112" s="42" t="s">
        <v>70</v>
      </c>
      <c r="H112" s="42" t="s">
        <v>72</v>
      </c>
      <c r="I112" s="42" t="s">
        <v>74</v>
      </c>
      <c r="J112" s="42" t="s">
        <v>70</v>
      </c>
      <c r="K112" s="42" t="s">
        <v>75</v>
      </c>
      <c r="L112" s="42" t="s">
        <v>72</v>
      </c>
      <c r="M112" s="42" t="s">
        <v>74</v>
      </c>
      <c r="N112" s="42" t="s">
        <v>76</v>
      </c>
      <c r="O112" s="42" t="s">
        <v>70</v>
      </c>
      <c r="P112" s="42" t="s">
        <v>77</v>
      </c>
      <c r="Q112" s="42" t="s">
        <v>72</v>
      </c>
      <c r="R112" s="42" t="s">
        <v>73</v>
      </c>
      <c r="S112" s="42" t="s">
        <v>74</v>
      </c>
      <c r="T112" s="42" t="s">
        <v>71</v>
      </c>
      <c r="U112" s="42" t="s">
        <v>70</v>
      </c>
      <c r="V112" s="42" t="s">
        <v>77</v>
      </c>
      <c r="W112" s="42" t="s">
        <v>71</v>
      </c>
      <c r="X112" s="42" t="s">
        <v>72</v>
      </c>
      <c r="Y112" s="42" t="s">
        <v>74</v>
      </c>
      <c r="Z112" s="42" t="s">
        <v>70</v>
      </c>
      <c r="AA112" s="42" t="s">
        <v>77</v>
      </c>
      <c r="AB112" s="42" t="s">
        <v>72</v>
      </c>
      <c r="AC112" s="42" t="s">
        <v>74</v>
      </c>
      <c r="AD112" s="42" t="s">
        <v>71</v>
      </c>
    </row>
    <row r="113" spans="1:30" x14ac:dyDescent="0.3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</row>
    <row r="114" spans="1:30" x14ac:dyDescent="0.35">
      <c r="A114" s="41">
        <v>2020</v>
      </c>
      <c r="B114" s="33">
        <v>1.70549842494939E-2</v>
      </c>
      <c r="C114" s="33">
        <v>9.7543505748386578E-3</v>
      </c>
      <c r="D114" s="33">
        <v>0.95730713852405691</v>
      </c>
      <c r="E114" s="33">
        <v>6.8211751120076589E-3</v>
      </c>
      <c r="F114" s="33">
        <v>9.0623515396028396E-3</v>
      </c>
      <c r="G114" s="171">
        <v>0.18937725025722213</v>
      </c>
      <c r="H114" s="171">
        <v>0.76319057331563145</v>
      </c>
      <c r="I114" s="172">
        <v>4.7432176427146464E-2</v>
      </c>
      <c r="J114" s="33">
        <v>3.001274344849188E-2</v>
      </c>
      <c r="K114" s="33">
        <v>4.3647087577094491E-2</v>
      </c>
      <c r="L114" s="33">
        <v>0.8929624524847033</v>
      </c>
      <c r="M114" s="33">
        <v>3.3377716489710378E-2</v>
      </c>
      <c r="N114" s="33">
        <v>0</v>
      </c>
      <c r="O114" s="33">
        <v>0.43006070554877496</v>
      </c>
      <c r="P114" s="33">
        <v>0.11458099314064607</v>
      </c>
      <c r="Q114" s="33">
        <v>7.4782030304806874E-2</v>
      </c>
      <c r="R114" s="33">
        <v>1.7454289627825418E-2</v>
      </c>
      <c r="S114" s="33">
        <v>0.3445704083101046</v>
      </c>
      <c r="T114" s="33">
        <v>1.8551573067842046E-2</v>
      </c>
      <c r="U114" s="33">
        <v>0.18571172597225799</v>
      </c>
      <c r="V114" s="33">
        <v>2.8367081657872353E-2</v>
      </c>
      <c r="W114" s="33">
        <v>0.20515836529310044</v>
      </c>
      <c r="X114" s="33">
        <v>6.1040695112417012E-2</v>
      </c>
      <c r="Y114" s="33">
        <v>0.51972213196435235</v>
      </c>
      <c r="Z114" s="33">
        <v>0.39082612967965707</v>
      </c>
      <c r="AA114" s="33">
        <v>1.7687438434504578E-2</v>
      </c>
      <c r="AB114" s="33">
        <v>3.1028103761602695E-2</v>
      </c>
      <c r="AC114" s="33">
        <v>0.40405862696035705</v>
      </c>
      <c r="AD114" s="33">
        <v>0.15639970116387852</v>
      </c>
    </row>
    <row r="115" spans="1:30" x14ac:dyDescent="0.35">
      <c r="A115" s="41">
        <v>2021</v>
      </c>
      <c r="B115" s="33">
        <v>1.7054984249493865E-2</v>
      </c>
      <c r="C115" s="33">
        <v>9.7543505748386578E-3</v>
      </c>
      <c r="D115" s="33">
        <v>0.95730713852405691</v>
      </c>
      <c r="E115" s="33">
        <v>6.8211751120076589E-3</v>
      </c>
      <c r="F115" s="33">
        <v>9.0623515396028396E-3</v>
      </c>
      <c r="G115" s="173">
        <v>0.18937695446258004</v>
      </c>
      <c r="H115" s="173">
        <v>0.76319108286196902</v>
      </c>
      <c r="I115" s="33">
        <v>4.7431962675450981E-2</v>
      </c>
      <c r="J115" s="33">
        <v>3.6135546692555323E-2</v>
      </c>
      <c r="K115" s="33">
        <v>4.4916982880222653E-2</v>
      </c>
      <c r="L115" s="33">
        <v>0.88339816820283423</v>
      </c>
      <c r="M115" s="33">
        <v>3.459174461768344E-2</v>
      </c>
      <c r="N115" s="33">
        <v>1.154316019040833E-3</v>
      </c>
      <c r="O115" s="33">
        <v>0.42109543379556325</v>
      </c>
      <c r="P115" s="33">
        <v>0.11645368797309785</v>
      </c>
      <c r="Q115" s="33">
        <v>7.1569725701900191E-2</v>
      </c>
      <c r="R115" s="33">
        <v>2.8518242086456463E-2</v>
      </c>
      <c r="S115" s="33">
        <v>0.34141114631510566</v>
      </c>
      <c r="T115" s="33">
        <v>2.095176412787661E-2</v>
      </c>
      <c r="U115" s="33">
        <v>0.19043964553766993</v>
      </c>
      <c r="V115" s="33">
        <v>3.0729066888978366E-2</v>
      </c>
      <c r="W115" s="33">
        <v>0.20921429685447968</v>
      </c>
      <c r="X115" s="33">
        <v>5.6426032343020405E-2</v>
      </c>
      <c r="Y115" s="33">
        <v>0.51319095837585149</v>
      </c>
      <c r="Z115" s="33">
        <v>0.41135957313612947</v>
      </c>
      <c r="AA115" s="33">
        <v>1.9882692769624944E-2</v>
      </c>
      <c r="AB115" s="33">
        <v>5.0798523986652876E-2</v>
      </c>
      <c r="AC115" s="33">
        <v>0.38268696532146729</v>
      </c>
      <c r="AD115" s="33">
        <v>0.13527224478612532</v>
      </c>
    </row>
    <row r="116" spans="1:30" x14ac:dyDescent="0.35">
      <c r="A116" s="41">
        <v>2022</v>
      </c>
      <c r="B116" s="33">
        <v>1.7054984249493865E-2</v>
      </c>
      <c r="C116" s="33">
        <v>9.7543505748386578E-3</v>
      </c>
      <c r="D116" s="33">
        <v>0.95730713852405691</v>
      </c>
      <c r="E116" s="33">
        <v>6.8211751120076589E-3</v>
      </c>
      <c r="F116" s="33">
        <v>9.0623515396028396E-3</v>
      </c>
      <c r="G116" s="173">
        <v>0.18937667951139997</v>
      </c>
      <c r="H116" s="173">
        <v>0.76319155650261994</v>
      </c>
      <c r="I116" s="33">
        <v>4.7431763985980112E-2</v>
      </c>
      <c r="J116" s="33">
        <v>4.1803475238755834E-2</v>
      </c>
      <c r="K116" s="33">
        <v>4.6092535246087876E-2</v>
      </c>
      <c r="L116" s="33">
        <v>0.87454443279042438</v>
      </c>
      <c r="M116" s="33">
        <v>3.5715580287088718E-2</v>
      </c>
      <c r="N116" s="33">
        <v>2.2228757056519674E-3</v>
      </c>
      <c r="O116" s="33">
        <v>0.41236019163248033</v>
      </c>
      <c r="P116" s="33">
        <v>0.11827833348405632</v>
      </c>
      <c r="Q116" s="33">
        <v>6.8439841925881498E-2</v>
      </c>
      <c r="R116" s="33">
        <v>3.9298317322029402E-2</v>
      </c>
      <c r="S116" s="33">
        <v>0.33833294418776305</v>
      </c>
      <c r="T116" s="33">
        <v>2.3290371447789445E-2</v>
      </c>
      <c r="U116" s="33">
        <v>0.19523317037118831</v>
      </c>
      <c r="V116" s="33">
        <v>3.3123827354985418E-2</v>
      </c>
      <c r="W116" s="33">
        <v>0.21332650908515188</v>
      </c>
      <c r="X116" s="33">
        <v>5.1747335872538699E-2</v>
      </c>
      <c r="Y116" s="33">
        <v>0.5065691573161355</v>
      </c>
      <c r="Z116" s="33">
        <v>0.43138915159103863</v>
      </c>
      <c r="AA116" s="33">
        <v>2.2024078311070158E-2</v>
      </c>
      <c r="AB116" s="33">
        <v>7.0083802845194415E-2</v>
      </c>
      <c r="AC116" s="33">
        <v>0.36183973750917436</v>
      </c>
      <c r="AD116" s="33">
        <v>0.11466322974352226</v>
      </c>
    </row>
    <row r="117" spans="1:30" x14ac:dyDescent="0.35">
      <c r="A117" s="41">
        <v>2023</v>
      </c>
      <c r="B117" s="33">
        <v>1.7054984249493865E-2</v>
      </c>
      <c r="C117" s="33">
        <v>9.7543505748386578E-3</v>
      </c>
      <c r="D117" s="33">
        <v>0.95730713852405691</v>
      </c>
      <c r="E117" s="33">
        <v>6.8211751120076589E-3</v>
      </c>
      <c r="F117" s="33">
        <v>9.0623515396028396E-3</v>
      </c>
      <c r="G117" s="173">
        <v>0.18937642327553028</v>
      </c>
      <c r="H117" s="173">
        <v>0.76319199790361358</v>
      </c>
      <c r="I117" s="33">
        <v>4.7431578820856066E-2</v>
      </c>
      <c r="J117" s="33">
        <v>4.706540384728379E-2</v>
      </c>
      <c r="K117" s="33">
        <v>4.718388150678051E-2</v>
      </c>
      <c r="L117" s="33">
        <v>0.86632490015532682</v>
      </c>
      <c r="M117" s="33">
        <v>3.6758914375005544E-2</v>
      </c>
      <c r="N117" s="33">
        <v>3.2148932900422926E-3</v>
      </c>
      <c r="O117" s="33">
        <v>0.40384623809985709</v>
      </c>
      <c r="P117" s="33">
        <v>0.12005675551332347</v>
      </c>
      <c r="Q117" s="33">
        <v>6.5389247044361942E-2</v>
      </c>
      <c r="R117" s="33">
        <v>4.9805302465696935E-2</v>
      </c>
      <c r="S117" s="33">
        <v>0.33533272171116402</v>
      </c>
      <c r="T117" s="33">
        <v>2.5569735165596595E-2</v>
      </c>
      <c r="U117" s="33">
        <v>0.2000936755347974</v>
      </c>
      <c r="V117" s="33">
        <v>3.5552050012609721E-2</v>
      </c>
      <c r="W117" s="33">
        <v>0.21749618160698342</v>
      </c>
      <c r="X117" s="33">
        <v>4.7003263578446863E-2</v>
      </c>
      <c r="Y117" s="33">
        <v>0.49985482926716246</v>
      </c>
      <c r="Z117" s="33">
        <v>0.45093318657537268</v>
      </c>
      <c r="AA117" s="33">
        <v>2.4113553835039301E-2</v>
      </c>
      <c r="AB117" s="33">
        <v>8.8901581039702249E-2</v>
      </c>
      <c r="AC117" s="33">
        <v>0.34149787406920901</v>
      </c>
      <c r="AD117" s="33">
        <v>9.4553804480676545E-2</v>
      </c>
    </row>
    <row r="118" spans="1:30" x14ac:dyDescent="0.35">
      <c r="A118" s="41">
        <v>2024</v>
      </c>
      <c r="B118" s="33">
        <v>1.7054984249493865E-2</v>
      </c>
      <c r="C118" s="33">
        <v>9.7543505748386578E-3</v>
      </c>
      <c r="D118" s="33">
        <v>0.95730713852405691</v>
      </c>
      <c r="E118" s="33">
        <v>6.8211751120076589E-3</v>
      </c>
      <c r="F118" s="33">
        <v>9.0623515396028396E-3</v>
      </c>
      <c r="G118" s="173">
        <v>0.18937618390700073</v>
      </c>
      <c r="H118" s="173">
        <v>0.76319241024832907</v>
      </c>
      <c r="I118" s="33">
        <v>4.7431405844670038E-2</v>
      </c>
      <c r="J118" s="33">
        <v>5.1963447478907646E-2</v>
      </c>
      <c r="K118" s="33">
        <v>4.8199756483384856E-2</v>
      </c>
      <c r="L118" s="33">
        <v>0.85867378352614709</v>
      </c>
      <c r="M118" s="33">
        <v>3.7730097426918269E-2</v>
      </c>
      <c r="N118" s="33">
        <v>4.1383085951847967E-3</v>
      </c>
      <c r="O118" s="33">
        <v>0.39554526956558878</v>
      </c>
      <c r="P118" s="33">
        <v>0.12179068855031148</v>
      </c>
      <c r="Q118" s="33">
        <v>6.2414965821747444E-2</v>
      </c>
      <c r="R118" s="33">
        <v>6.0049444947026138E-2</v>
      </c>
      <c r="S118" s="33">
        <v>0.33240755277776263</v>
      </c>
      <c r="T118" s="33">
        <v>2.7792078337563638E-2</v>
      </c>
      <c r="U118" s="33">
        <v>0.20502257478856345</v>
      </c>
      <c r="V118" s="33">
        <v>3.8014441151446685E-2</v>
      </c>
      <c r="W118" s="33">
        <v>0.22172452723969205</v>
      </c>
      <c r="X118" s="33">
        <v>4.2192435567146309E-2</v>
      </c>
      <c r="Y118" s="33">
        <v>0.49304602125315133</v>
      </c>
      <c r="Z118" s="33">
        <v>0.47000912198139916</v>
      </c>
      <c r="AA118" s="33">
        <v>2.6152984288354504E-2</v>
      </c>
      <c r="AB118" s="33">
        <v>0.10726865424700575</v>
      </c>
      <c r="AC118" s="33">
        <v>0.32164321901307391</v>
      </c>
      <c r="AD118" s="33">
        <v>7.4926020470166471E-2</v>
      </c>
    </row>
    <row r="119" spans="1:30" x14ac:dyDescent="0.35">
      <c r="A119" s="41">
        <v>2025</v>
      </c>
      <c r="B119" s="33">
        <v>1.7054984249493865E-2</v>
      </c>
      <c r="C119" s="33">
        <v>9.7543505748386578E-3</v>
      </c>
      <c r="D119" s="33">
        <v>0.95730713852405691</v>
      </c>
      <c r="E119" s="33">
        <v>6.8211751120076589E-3</v>
      </c>
      <c r="F119" s="33">
        <v>9.0623515396028396E-3</v>
      </c>
      <c r="G119" s="173">
        <v>0.18937595979338268</v>
      </c>
      <c r="H119" s="173">
        <v>0.7631927963143933</v>
      </c>
      <c r="I119" s="33">
        <v>4.7431243892223918E-2</v>
      </c>
      <c r="J119" s="33">
        <v>5.6534090909090756E-2</v>
      </c>
      <c r="K119" s="33">
        <v>4.914772727272728E-2</v>
      </c>
      <c r="L119" s="33">
        <v>0.85153409090909082</v>
      </c>
      <c r="M119" s="33">
        <v>3.8636363636363712E-2</v>
      </c>
      <c r="N119" s="33">
        <v>5.0000000000000001E-3</v>
      </c>
      <c r="O119" s="33">
        <v>0.38744939271255063</v>
      </c>
      <c r="P119" s="33">
        <v>0.12348178137651825</v>
      </c>
      <c r="Q119" s="33">
        <v>5.9514170040485835E-2</v>
      </c>
      <c r="R119" s="33">
        <v>7.0040485829959517E-2</v>
      </c>
      <c r="S119" s="33">
        <v>0.32955465587044541</v>
      </c>
      <c r="T119" s="33">
        <v>2.9959514170040426E-2</v>
      </c>
      <c r="U119" s="33">
        <v>0.21002132196162046</v>
      </c>
      <c r="V119" s="33">
        <v>4.0511727078891273E-2</v>
      </c>
      <c r="W119" s="33">
        <v>0.22601279317697223</v>
      </c>
      <c r="X119" s="33">
        <v>3.7313432835820892E-2</v>
      </c>
      <c r="Y119" s="33">
        <v>0.48614072494669508</v>
      </c>
      <c r="Z119" s="33">
        <v>0.48863357599164592</v>
      </c>
      <c r="AA119" s="33">
        <v>2.8144146340248744E-2</v>
      </c>
      <c r="AB119" s="33">
        <v>0.12520102311758763</v>
      </c>
      <c r="AC119" s="33">
        <v>0.30225847576921278</v>
      </c>
      <c r="AD119" s="33">
        <v>5.5762778781304694E-2</v>
      </c>
    </row>
    <row r="120" spans="1:30" x14ac:dyDescent="0.35">
      <c r="A120" s="41">
        <v>2026</v>
      </c>
      <c r="B120" s="33">
        <v>1.7054984249493865E-2</v>
      </c>
      <c r="C120" s="33">
        <v>9.7543505748386578E-3</v>
      </c>
      <c r="D120" s="33">
        <v>0.95730713852405691</v>
      </c>
      <c r="E120" s="33">
        <v>6.8211751120076589E-3</v>
      </c>
      <c r="F120" s="33">
        <v>9.0623515396028396E-3</v>
      </c>
      <c r="G120" s="173">
        <v>0.18937595979338268</v>
      </c>
      <c r="H120" s="173">
        <v>0.7631927963143933</v>
      </c>
      <c r="I120" s="33">
        <v>4.7431243892223918E-2</v>
      </c>
      <c r="J120" s="33">
        <v>6.8356330465908291E-2</v>
      </c>
      <c r="K120" s="33">
        <v>5.8657121413313341E-2</v>
      </c>
      <c r="L120" s="33">
        <v>0.81906783672998074</v>
      </c>
      <c r="M120" s="33">
        <v>4.8611512037411299E-2</v>
      </c>
      <c r="N120" s="33">
        <v>6.0000000000000001E-3</v>
      </c>
      <c r="O120" s="33">
        <v>0.39026382422608841</v>
      </c>
      <c r="P120" s="33">
        <v>0.12162051784693297</v>
      </c>
      <c r="Q120" s="33">
        <v>5.8564077432001968E-2</v>
      </c>
      <c r="R120" s="33">
        <v>6.7630482724822361E-2</v>
      </c>
      <c r="S120" s="33">
        <v>0.32875929102344204</v>
      </c>
      <c r="T120" s="33">
        <v>3.316180674671234E-2</v>
      </c>
      <c r="U120" s="33">
        <v>0.21290838972567852</v>
      </c>
      <c r="V120" s="33">
        <v>4.2057774867205154E-2</v>
      </c>
      <c r="W120" s="33">
        <v>0.23917630793858691</v>
      </c>
      <c r="X120" s="33">
        <v>3.2598413737902933E-2</v>
      </c>
      <c r="Y120" s="33">
        <v>0.47325911373062651</v>
      </c>
      <c r="Z120" s="33">
        <v>0.49254797385357885</v>
      </c>
      <c r="AA120" s="33">
        <v>2.7473652967542918E-2</v>
      </c>
      <c r="AB120" s="33">
        <v>0.12483460563473953</v>
      </c>
      <c r="AC120" s="33">
        <v>0.29058731962690665</v>
      </c>
      <c r="AD120" s="33">
        <v>6.455644791723171E-2</v>
      </c>
    </row>
    <row r="121" spans="1:30" x14ac:dyDescent="0.35">
      <c r="A121" s="41">
        <v>2027</v>
      </c>
      <c r="B121" s="33">
        <v>1.7054984249493865E-2</v>
      </c>
      <c r="C121" s="33">
        <v>9.7543505748386578E-3</v>
      </c>
      <c r="D121" s="33">
        <v>0.95730713852405691</v>
      </c>
      <c r="E121" s="33">
        <v>6.8211751120076589E-3</v>
      </c>
      <c r="F121" s="33">
        <v>9.0623515396028396E-3</v>
      </c>
      <c r="G121" s="173">
        <v>0.18937595979338268</v>
      </c>
      <c r="H121" s="173">
        <v>0.7631927963143933</v>
      </c>
      <c r="I121" s="33">
        <v>4.7431243892223911E-2</v>
      </c>
      <c r="J121" s="33">
        <v>8.056566130735815E-2</v>
      </c>
      <c r="K121" s="33">
        <v>6.8477878183311858E-2</v>
      </c>
      <c r="L121" s="33">
        <v>0.7855712944490082</v>
      </c>
      <c r="M121" s="33">
        <v>5.8913273090012971E-2</v>
      </c>
      <c r="N121" s="33">
        <v>7.000000000000001E-3</v>
      </c>
      <c r="O121" s="33">
        <v>0.39312788398154253</v>
      </c>
      <c r="P121" s="33">
        <v>0.11972643375082402</v>
      </c>
      <c r="Q121" s="33">
        <v>5.7597231377719188E-2</v>
      </c>
      <c r="R121" s="33">
        <v>6.51779828609097E-2</v>
      </c>
      <c r="S121" s="33">
        <v>0.32794990112063288</v>
      </c>
      <c r="T121" s="33">
        <v>3.642056690837172E-2</v>
      </c>
      <c r="U121" s="33">
        <v>0.21593619558735835</v>
      </c>
      <c r="V121" s="33">
        <v>4.3679189028026283E-2</v>
      </c>
      <c r="W121" s="33">
        <v>0.25298151460942159</v>
      </c>
      <c r="X121" s="33">
        <v>2.765354800238521E-2</v>
      </c>
      <c r="Y121" s="33">
        <v>0.45974955277280871</v>
      </c>
      <c r="Z121" s="33">
        <v>0.49661889406445581</v>
      </c>
      <c r="AA121" s="33">
        <v>2.6776349035116557E-2</v>
      </c>
      <c r="AB121" s="33">
        <v>0.12445353646671978</v>
      </c>
      <c r="AC121" s="33">
        <v>0.27844947694973105</v>
      </c>
      <c r="AD121" s="33">
        <v>7.3701743483976359E-2</v>
      </c>
    </row>
    <row r="122" spans="1:30" x14ac:dyDescent="0.35">
      <c r="A122" s="41">
        <v>2028</v>
      </c>
      <c r="B122" s="33">
        <v>1.7054984249493865E-2</v>
      </c>
      <c r="C122" s="33">
        <v>9.7543505748386578E-3</v>
      </c>
      <c r="D122" s="33">
        <v>0.95730713852405691</v>
      </c>
      <c r="E122" s="33">
        <v>6.8211751120076589E-3</v>
      </c>
      <c r="F122" s="33">
        <v>9.0623515396028396E-3</v>
      </c>
      <c r="G122" s="173">
        <v>0.1893759597933827</v>
      </c>
      <c r="H122" s="173">
        <v>0.7631927963143933</v>
      </c>
      <c r="I122" s="33">
        <v>4.7431243892223911E-2</v>
      </c>
      <c r="J122" s="33">
        <v>9.3181411441865883E-2</v>
      </c>
      <c r="K122" s="33">
        <v>7.8625544353636057E-2</v>
      </c>
      <c r="L122" s="33">
        <v>0.75099302034242077</v>
      </c>
      <c r="M122" s="33">
        <v>6.9557955019984546E-2</v>
      </c>
      <c r="N122" s="33">
        <v>8.0000000000000002E-3</v>
      </c>
      <c r="O122" s="33">
        <v>0.39604289633385981</v>
      </c>
      <c r="P122" s="33">
        <v>0.11779865325463466</v>
      </c>
      <c r="Q122" s="33">
        <v>5.6613184803391815E-2</v>
      </c>
      <c r="R122" s="33">
        <v>6.2681852190539553E-2</v>
      </c>
      <c r="S122" s="33">
        <v>0.32712611189625085</v>
      </c>
      <c r="T122" s="33">
        <v>3.9737301521323397E-2</v>
      </c>
      <c r="U122" s="33">
        <v>0.21911528764611501</v>
      </c>
      <c r="V122" s="33">
        <v>4.5381618152647324E-2</v>
      </c>
      <c r="W122" s="33">
        <v>0.26747650699060288</v>
      </c>
      <c r="X122" s="33">
        <v>2.2461608984643593E-2</v>
      </c>
      <c r="Y122" s="33">
        <v>0.44556497822599145</v>
      </c>
      <c r="Z122" s="33">
        <v>0.5008559162799493</v>
      </c>
      <c r="AA122" s="33">
        <v>2.6050593653139918E-2</v>
      </c>
      <c r="AB122" s="33">
        <v>0.12405691888472314</v>
      </c>
      <c r="AC122" s="33">
        <v>0.26581638506697991</v>
      </c>
      <c r="AD122" s="33">
        <v>8.3220186115207234E-2</v>
      </c>
    </row>
    <row r="123" spans="1:30" x14ac:dyDescent="0.35">
      <c r="A123" s="41">
        <v>2029</v>
      </c>
      <c r="B123" s="33">
        <v>1.7054984249493865E-2</v>
      </c>
      <c r="C123" s="33">
        <v>9.7543505748386578E-3</v>
      </c>
      <c r="D123" s="33">
        <v>0.95730713852405691</v>
      </c>
      <c r="E123" s="33">
        <v>6.8211751120076589E-3</v>
      </c>
      <c r="F123" s="33">
        <v>9.0623515396028396E-3</v>
      </c>
      <c r="G123" s="173">
        <v>0.1893759597933827</v>
      </c>
      <c r="H123" s="173">
        <v>0.7631927963143933</v>
      </c>
      <c r="I123" s="33">
        <v>4.7431243892223911E-2</v>
      </c>
      <c r="J123" s="33">
        <v>0.10622421742295547</v>
      </c>
      <c r="K123" s="33">
        <v>8.9116719242902293E-2</v>
      </c>
      <c r="L123" s="33">
        <v>0.71527808784275648</v>
      </c>
      <c r="M123" s="33">
        <v>8.0562970152875571E-2</v>
      </c>
      <c r="N123" s="33">
        <v>9.0000000000000011E-3</v>
      </c>
      <c r="O123" s="33">
        <v>0.3990102331823519</v>
      </c>
      <c r="P123" s="33">
        <v>0.11583626908236877</v>
      </c>
      <c r="Q123" s="33">
        <v>5.5611474584801215E-2</v>
      </c>
      <c r="R123" s="33">
        <v>6.0140915953699067E-2</v>
      </c>
      <c r="S123" s="33">
        <v>0.32628753564838126</v>
      </c>
      <c r="T123" s="33">
        <v>4.3113571548397844E-2</v>
      </c>
      <c r="U123" s="33">
        <v>0.22245729509481268</v>
      </c>
      <c r="V123" s="33">
        <v>4.7171289766494359E-2</v>
      </c>
      <c r="W123" s="33">
        <v>0.28271430810217846</v>
      </c>
      <c r="X123" s="33">
        <v>1.7003604450713052E-2</v>
      </c>
      <c r="Y123" s="33">
        <v>0.43065350258580182</v>
      </c>
      <c r="Z123" s="33">
        <v>0.50526941817589099</v>
      </c>
      <c r="AA123" s="33">
        <v>2.5294609239692414E-2</v>
      </c>
      <c r="AB123" s="33">
        <v>0.12364378145917342</v>
      </c>
      <c r="AC123" s="33">
        <v>0.25265710193359292</v>
      </c>
      <c r="AD123" s="33">
        <v>9.3135089191649589E-2</v>
      </c>
    </row>
    <row r="124" spans="1:30" x14ac:dyDescent="0.35">
      <c r="A124" s="41">
        <v>2030</v>
      </c>
      <c r="B124" s="33">
        <v>1.7054984249493865E-2</v>
      </c>
      <c r="C124" s="33">
        <v>9.7543505748386578E-3</v>
      </c>
      <c r="D124" s="33">
        <v>0.95730713852405691</v>
      </c>
      <c r="E124" s="33">
        <v>6.8211751120076589E-3</v>
      </c>
      <c r="F124" s="33">
        <v>9.0623515396028396E-3</v>
      </c>
      <c r="G124" s="173">
        <v>0.18937595979338265</v>
      </c>
      <c r="H124" s="173">
        <v>0.76319279631439352</v>
      </c>
      <c r="I124" s="33">
        <v>4.7431243892223925E-2</v>
      </c>
      <c r="J124" s="33">
        <v>0.11971613699475457</v>
      </c>
      <c r="K124" s="33">
        <v>9.99691453255169E-2</v>
      </c>
      <c r="L124" s="33">
        <v>0.67836778771983952</v>
      </c>
      <c r="M124" s="33">
        <v>9.1946929959888929E-2</v>
      </c>
      <c r="N124" s="33">
        <v>1.0000000000000002E-2</v>
      </c>
      <c r="O124" s="33">
        <v>0.40203131612357179</v>
      </c>
      <c r="P124" s="33">
        <v>0.11383834109183248</v>
      </c>
      <c r="Q124" s="33">
        <v>5.4591620820990262E-2</v>
      </c>
      <c r="R124" s="33">
        <v>5.7553956834532384E-2</v>
      </c>
      <c r="S124" s="33">
        <v>0.3254337706305544</v>
      </c>
      <c r="T124" s="33">
        <v>4.6550994498518745E-2</v>
      </c>
      <c r="U124" s="33">
        <v>0.22597507036590264</v>
      </c>
      <c r="V124" s="33">
        <v>4.9055086449537683E-2</v>
      </c>
      <c r="W124" s="33">
        <v>0.29875351829513463</v>
      </c>
      <c r="X124" s="33">
        <v>1.1258544431041415E-2</v>
      </c>
      <c r="Y124" s="33">
        <v>0.41495778045838355</v>
      </c>
      <c r="Z124" s="33">
        <v>0.50987066031313821</v>
      </c>
      <c r="AA124" s="33">
        <v>2.4506466984343053E-2</v>
      </c>
      <c r="AB124" s="33">
        <v>0.12321307011572498</v>
      </c>
      <c r="AC124" s="33">
        <v>0.23893805309734514</v>
      </c>
      <c r="AD124" s="33">
        <v>0.10347174948944858</v>
      </c>
    </row>
    <row r="125" spans="1:30" x14ac:dyDescent="0.35">
      <c r="A125" s="41">
        <v>2031</v>
      </c>
      <c r="B125" s="33">
        <v>1.7054984249493865E-2</v>
      </c>
      <c r="C125" s="33">
        <v>9.7543505748386578E-3</v>
      </c>
      <c r="D125" s="33">
        <v>0.95730713852405691</v>
      </c>
      <c r="E125" s="33">
        <v>6.8211751120076589E-3</v>
      </c>
      <c r="F125" s="33">
        <v>9.0623515396028396E-3</v>
      </c>
      <c r="G125" s="173">
        <v>0.18937595979338265</v>
      </c>
      <c r="H125" s="173">
        <v>0.76319279631439352</v>
      </c>
      <c r="I125" s="33">
        <v>4.7431243892223925E-2</v>
      </c>
      <c r="J125" s="33">
        <v>0.11971613699475457</v>
      </c>
      <c r="K125" s="33">
        <v>9.9969145325516887E-2</v>
      </c>
      <c r="L125" s="33">
        <v>0.67836778771983952</v>
      </c>
      <c r="M125" s="33">
        <v>9.1946929959888915E-2</v>
      </c>
      <c r="N125" s="33">
        <v>1.0000000000000002E-2</v>
      </c>
      <c r="O125" s="33">
        <v>0.40203131612357179</v>
      </c>
      <c r="P125" s="33">
        <v>0.11383834109183248</v>
      </c>
      <c r="Q125" s="33">
        <v>5.4591620820990262E-2</v>
      </c>
      <c r="R125" s="33">
        <v>5.7553956834532384E-2</v>
      </c>
      <c r="S125" s="33">
        <v>0.3254337706305544</v>
      </c>
      <c r="T125" s="33">
        <v>4.6550994498518745E-2</v>
      </c>
      <c r="U125" s="33">
        <v>0.22597507036590264</v>
      </c>
      <c r="V125" s="33">
        <v>4.9055086449537683E-2</v>
      </c>
      <c r="W125" s="33">
        <v>0.29875351829513463</v>
      </c>
      <c r="X125" s="33">
        <v>1.1258544431041415E-2</v>
      </c>
      <c r="Y125" s="33">
        <v>0.41495778045838355</v>
      </c>
      <c r="Z125" s="33">
        <v>0.50987066031313821</v>
      </c>
      <c r="AA125" s="33">
        <v>2.4506466984343053E-2</v>
      </c>
      <c r="AB125" s="33">
        <v>0.12321307011572498</v>
      </c>
      <c r="AC125" s="33">
        <v>0.23893805309734514</v>
      </c>
      <c r="AD125" s="33">
        <v>0.10347174948944858</v>
      </c>
    </row>
    <row r="126" spans="1:30" x14ac:dyDescent="0.35">
      <c r="A126" s="41">
        <v>2032</v>
      </c>
      <c r="B126" s="33">
        <v>1.7054984249493865E-2</v>
      </c>
      <c r="C126" s="33">
        <v>9.7543505748386578E-3</v>
      </c>
      <c r="D126" s="33">
        <v>0.95730713852405691</v>
      </c>
      <c r="E126" s="33">
        <v>6.8211751120076589E-3</v>
      </c>
      <c r="F126" s="33">
        <v>9.0623515396028396E-3</v>
      </c>
      <c r="G126" s="173">
        <v>0.18937595979338265</v>
      </c>
      <c r="H126" s="173">
        <v>0.76319279631439352</v>
      </c>
      <c r="I126" s="33">
        <v>4.7431243892223925E-2</v>
      </c>
      <c r="J126" s="33">
        <v>0.11971613699475457</v>
      </c>
      <c r="K126" s="33">
        <v>9.99691453255169E-2</v>
      </c>
      <c r="L126" s="33">
        <v>0.67836778771983952</v>
      </c>
      <c r="M126" s="33">
        <v>9.1946929959888929E-2</v>
      </c>
      <c r="N126" s="33">
        <v>1.0000000000000002E-2</v>
      </c>
      <c r="O126" s="33">
        <v>0.40203131612357179</v>
      </c>
      <c r="P126" s="33">
        <v>0.11383834109183248</v>
      </c>
      <c r="Q126" s="33">
        <v>5.4591620820990262E-2</v>
      </c>
      <c r="R126" s="33">
        <v>5.7553956834532384E-2</v>
      </c>
      <c r="S126" s="33">
        <v>0.3254337706305544</v>
      </c>
      <c r="T126" s="33">
        <v>4.6550994498518745E-2</v>
      </c>
      <c r="U126" s="33">
        <v>0.22597507036590264</v>
      </c>
      <c r="V126" s="33">
        <v>4.9055086449537683E-2</v>
      </c>
      <c r="W126" s="33">
        <v>0.29875351829513463</v>
      </c>
      <c r="X126" s="33">
        <v>1.1258544431041415E-2</v>
      </c>
      <c r="Y126" s="33">
        <v>0.41495778045838355</v>
      </c>
      <c r="Z126" s="33">
        <v>0.50987066031313821</v>
      </c>
      <c r="AA126" s="33">
        <v>2.4506466984343053E-2</v>
      </c>
      <c r="AB126" s="33">
        <v>0.12321307011572498</v>
      </c>
      <c r="AC126" s="33">
        <v>0.23893805309734514</v>
      </c>
      <c r="AD126" s="33">
        <v>0.10347174948944858</v>
      </c>
    </row>
    <row r="127" spans="1:30" x14ac:dyDescent="0.35">
      <c r="A127" s="41">
        <v>2033</v>
      </c>
      <c r="B127" s="33">
        <v>1.7054984249493865E-2</v>
      </c>
      <c r="C127" s="33">
        <v>9.7543505748386578E-3</v>
      </c>
      <c r="D127" s="33">
        <v>0.95730713852405691</v>
      </c>
      <c r="E127" s="33">
        <v>6.8211751120076589E-3</v>
      </c>
      <c r="F127" s="33">
        <v>9.0623515396028396E-3</v>
      </c>
      <c r="G127" s="173">
        <v>0.18937595979338265</v>
      </c>
      <c r="H127" s="173">
        <v>0.76319279631439352</v>
      </c>
      <c r="I127" s="33">
        <v>4.7431243892223925E-2</v>
      </c>
      <c r="J127" s="33">
        <v>0.11971613699475457</v>
      </c>
      <c r="K127" s="33">
        <v>9.9969145325516887E-2</v>
      </c>
      <c r="L127" s="33">
        <v>0.67836778771983952</v>
      </c>
      <c r="M127" s="33">
        <v>9.1946929959888929E-2</v>
      </c>
      <c r="N127" s="33">
        <v>1.0000000000000002E-2</v>
      </c>
      <c r="O127" s="33">
        <v>0.40203131612357179</v>
      </c>
      <c r="P127" s="33">
        <v>0.11383834109183248</v>
      </c>
      <c r="Q127" s="33">
        <v>5.4591620820990262E-2</v>
      </c>
      <c r="R127" s="33">
        <v>5.7553956834532384E-2</v>
      </c>
      <c r="S127" s="33">
        <v>0.3254337706305544</v>
      </c>
      <c r="T127" s="33">
        <v>4.6550994498518745E-2</v>
      </c>
      <c r="U127" s="33">
        <v>0.22597507036590264</v>
      </c>
      <c r="V127" s="33">
        <v>4.9055086449537683E-2</v>
      </c>
      <c r="W127" s="33">
        <v>0.29875351829513463</v>
      </c>
      <c r="X127" s="33">
        <v>1.1258544431041415E-2</v>
      </c>
      <c r="Y127" s="33">
        <v>0.41495778045838355</v>
      </c>
      <c r="Z127" s="33">
        <v>0.50987066031313821</v>
      </c>
      <c r="AA127" s="33">
        <v>2.4506466984343053E-2</v>
      </c>
      <c r="AB127" s="33">
        <v>0.12321307011572498</v>
      </c>
      <c r="AC127" s="33">
        <v>0.23893805309734514</v>
      </c>
      <c r="AD127" s="33">
        <v>0.10347174948944858</v>
      </c>
    </row>
    <row r="128" spans="1:30" x14ac:dyDescent="0.35">
      <c r="A128" s="41">
        <v>2034</v>
      </c>
      <c r="B128" s="33">
        <v>1.7054984249493865E-2</v>
      </c>
      <c r="C128" s="33">
        <v>9.7543505748386578E-3</v>
      </c>
      <c r="D128" s="33">
        <v>0.95730713852405691</v>
      </c>
      <c r="E128" s="33">
        <v>6.8211751120076589E-3</v>
      </c>
      <c r="F128" s="33">
        <v>9.0623515396028396E-3</v>
      </c>
      <c r="G128" s="173">
        <v>0.18937595979338265</v>
      </c>
      <c r="H128" s="173">
        <v>0.76319279631439352</v>
      </c>
      <c r="I128" s="33">
        <v>4.7431243892223925E-2</v>
      </c>
      <c r="J128" s="33">
        <v>0.11971613699475456</v>
      </c>
      <c r="K128" s="33">
        <v>9.9969145325516887E-2</v>
      </c>
      <c r="L128" s="33">
        <v>0.67836778771983952</v>
      </c>
      <c r="M128" s="33">
        <v>9.1946929959888929E-2</v>
      </c>
      <c r="N128" s="33">
        <v>1.0000000000000002E-2</v>
      </c>
      <c r="O128" s="33">
        <v>0.40203131612357179</v>
      </c>
      <c r="P128" s="33">
        <v>0.11383834109183248</v>
      </c>
      <c r="Q128" s="33">
        <v>5.4591620820990262E-2</v>
      </c>
      <c r="R128" s="33">
        <v>5.7553956834532384E-2</v>
      </c>
      <c r="S128" s="33">
        <v>0.3254337706305544</v>
      </c>
      <c r="T128" s="33">
        <v>4.6550994498518745E-2</v>
      </c>
      <c r="U128" s="33">
        <v>0.22597507036590264</v>
      </c>
      <c r="V128" s="33">
        <v>4.9055086449537683E-2</v>
      </c>
      <c r="W128" s="33">
        <v>0.29875351829513463</v>
      </c>
      <c r="X128" s="33">
        <v>1.1258544431041415E-2</v>
      </c>
      <c r="Y128" s="33">
        <v>0.41495778045838355</v>
      </c>
      <c r="Z128" s="33">
        <v>0.50987066031313821</v>
      </c>
      <c r="AA128" s="33">
        <v>2.4506466984343053E-2</v>
      </c>
      <c r="AB128" s="33">
        <v>0.12321307011572498</v>
      </c>
      <c r="AC128" s="33">
        <v>0.23893805309734514</v>
      </c>
      <c r="AD128" s="33">
        <v>0.10347174948944858</v>
      </c>
    </row>
    <row r="129" spans="1:30" x14ac:dyDescent="0.35">
      <c r="A129" s="41">
        <v>2035</v>
      </c>
      <c r="B129" s="33">
        <v>1.7054984249493865E-2</v>
      </c>
      <c r="C129" s="33">
        <v>9.7543505748386578E-3</v>
      </c>
      <c r="D129" s="33">
        <v>0.95730713852405691</v>
      </c>
      <c r="E129" s="33">
        <v>6.8211751120076589E-3</v>
      </c>
      <c r="F129" s="33">
        <v>9.0623515396028396E-3</v>
      </c>
      <c r="G129" s="173">
        <v>0.18937595979338265</v>
      </c>
      <c r="H129" s="173">
        <v>0.76319279631439352</v>
      </c>
      <c r="I129" s="33">
        <v>4.7431243892223925E-2</v>
      </c>
      <c r="J129" s="33">
        <v>0.11962454622688409</v>
      </c>
      <c r="K129" s="33">
        <v>9.989266231317144E-2</v>
      </c>
      <c r="L129" s="33">
        <v>0.67784879146640553</v>
      </c>
      <c r="M129" s="33">
        <v>9.1876584473225512E-2</v>
      </c>
      <c r="N129" s="33">
        <v>9.9923493381786563E-3</v>
      </c>
      <c r="O129" s="33">
        <v>0.40203131612357179</v>
      </c>
      <c r="P129" s="33">
        <v>0.11383834109183248</v>
      </c>
      <c r="Q129" s="33">
        <v>5.4591620820990262E-2</v>
      </c>
      <c r="R129" s="33">
        <v>5.7553956834532384E-2</v>
      </c>
      <c r="S129" s="33">
        <v>0.3254337706305544</v>
      </c>
      <c r="T129" s="33">
        <v>4.6550994498518745E-2</v>
      </c>
      <c r="U129" s="33">
        <v>0.22597507036590264</v>
      </c>
      <c r="V129" s="33">
        <v>4.9055086449537683E-2</v>
      </c>
      <c r="W129" s="33">
        <v>0.29875351829513463</v>
      </c>
      <c r="X129" s="33">
        <v>1.1258544431041415E-2</v>
      </c>
      <c r="Y129" s="33">
        <v>0.41495778045838355</v>
      </c>
      <c r="Z129" s="33">
        <v>0.50987066031313821</v>
      </c>
      <c r="AA129" s="33">
        <v>2.4506466984343053E-2</v>
      </c>
      <c r="AB129" s="33">
        <v>0.12321307011572498</v>
      </c>
      <c r="AC129" s="33">
        <v>0.23893805309734514</v>
      </c>
      <c r="AD129" s="33">
        <v>0.10347174948944858</v>
      </c>
    </row>
    <row r="130" spans="1:30" x14ac:dyDescent="0.35">
      <c r="A130" s="41">
        <v>2036</v>
      </c>
      <c r="B130" s="33">
        <v>1.7054984249493865E-2</v>
      </c>
      <c r="C130" s="33">
        <v>9.7543505748386578E-3</v>
      </c>
      <c r="D130" s="33">
        <v>0.95730713852405691</v>
      </c>
      <c r="E130" s="33">
        <v>6.8211751120076589E-3</v>
      </c>
      <c r="F130" s="33">
        <v>9.0623515396028396E-3</v>
      </c>
      <c r="G130" s="173">
        <v>0.18937595979338265</v>
      </c>
      <c r="H130" s="173">
        <v>0.76319279631439352</v>
      </c>
      <c r="I130" s="33">
        <v>4.7431243892223925E-2</v>
      </c>
      <c r="J130" s="33">
        <v>0.14564459053870774</v>
      </c>
      <c r="K130" s="33">
        <v>0.12162074055294174</v>
      </c>
      <c r="L130" s="33">
        <v>0.6345597188213935</v>
      </c>
      <c r="M130" s="33">
        <v>8.6009122305102478E-2</v>
      </c>
      <c r="N130" s="33">
        <v>1.2165827781854445E-2</v>
      </c>
      <c r="O130" s="33">
        <v>0.40203131612357179</v>
      </c>
      <c r="P130" s="33">
        <v>0.11383834109183248</v>
      </c>
      <c r="Q130" s="33">
        <v>5.4591620820990262E-2</v>
      </c>
      <c r="R130" s="33">
        <v>5.7553956834532384E-2</v>
      </c>
      <c r="S130" s="33">
        <v>0.3254337706305544</v>
      </c>
      <c r="T130" s="33">
        <v>4.6550994498518745E-2</v>
      </c>
      <c r="U130" s="33">
        <v>0.22597507036590264</v>
      </c>
      <c r="V130" s="33">
        <v>4.9055086449537683E-2</v>
      </c>
      <c r="W130" s="33">
        <v>0.29875351829513463</v>
      </c>
      <c r="X130" s="33">
        <v>1.1258544431041415E-2</v>
      </c>
      <c r="Y130" s="33">
        <v>0.41495778045838355</v>
      </c>
      <c r="Z130" s="33">
        <v>0.50987066031313821</v>
      </c>
      <c r="AA130" s="33">
        <v>2.4506466984343053E-2</v>
      </c>
      <c r="AB130" s="33">
        <v>0.12321307011572498</v>
      </c>
      <c r="AC130" s="33">
        <v>0.23893805309734514</v>
      </c>
      <c r="AD130" s="33">
        <v>0.10347174948944858</v>
      </c>
    </row>
    <row r="131" spans="1:30" x14ac:dyDescent="0.35">
      <c r="A131" s="41">
        <v>2037</v>
      </c>
      <c r="B131" s="33">
        <v>1.7054984249493865E-2</v>
      </c>
      <c r="C131" s="33">
        <v>9.7543505748386578E-3</v>
      </c>
      <c r="D131" s="33">
        <v>0.95730713852405691</v>
      </c>
      <c r="E131" s="33">
        <v>6.8211751120076589E-3</v>
      </c>
      <c r="F131" s="33">
        <v>9.0623515396028396E-3</v>
      </c>
      <c r="G131" s="173">
        <v>0.18937595979338265</v>
      </c>
      <c r="H131" s="173">
        <v>0.76319279631439352</v>
      </c>
      <c r="I131" s="33">
        <v>4.7431243892223925E-2</v>
      </c>
      <c r="J131" s="33">
        <v>0.17246030435373785</v>
      </c>
      <c r="K131" s="33">
        <v>0.14401324384178135</v>
      </c>
      <c r="L131" s="33">
        <v>0.5892525570819378</v>
      </c>
      <c r="M131" s="33">
        <v>7.9868125485159799E-2</v>
      </c>
      <c r="N131" s="33">
        <v>1.4405769237383121E-2</v>
      </c>
      <c r="O131" s="33">
        <v>0.40203131612357179</v>
      </c>
      <c r="P131" s="33">
        <v>0.11383834109183248</v>
      </c>
      <c r="Q131" s="33">
        <v>5.4591620820990262E-2</v>
      </c>
      <c r="R131" s="33">
        <v>5.7553956834532384E-2</v>
      </c>
      <c r="S131" s="33">
        <v>0.3254337706305544</v>
      </c>
      <c r="T131" s="33">
        <v>4.6550994498518745E-2</v>
      </c>
      <c r="U131" s="33">
        <v>0.22597507036590264</v>
      </c>
      <c r="V131" s="33">
        <v>4.9055086449537683E-2</v>
      </c>
      <c r="W131" s="33">
        <v>0.29875351829513463</v>
      </c>
      <c r="X131" s="33">
        <v>1.1258544431041415E-2</v>
      </c>
      <c r="Y131" s="33">
        <v>0.41495778045838355</v>
      </c>
      <c r="Z131" s="33">
        <v>0.50987066031313821</v>
      </c>
      <c r="AA131" s="33">
        <v>2.4506466984343053E-2</v>
      </c>
      <c r="AB131" s="33">
        <v>0.12321307011572498</v>
      </c>
      <c r="AC131" s="33">
        <v>0.23893805309734514</v>
      </c>
      <c r="AD131" s="33">
        <v>0.10347174948944858</v>
      </c>
    </row>
    <row r="132" spans="1:30" x14ac:dyDescent="0.35">
      <c r="A132" s="41">
        <v>2038</v>
      </c>
      <c r="B132" s="33">
        <v>1.7054984249493865E-2</v>
      </c>
      <c r="C132" s="33">
        <v>9.7543505748386578E-3</v>
      </c>
      <c r="D132" s="33">
        <v>0.95730713852405691</v>
      </c>
      <c r="E132" s="33">
        <v>6.8211751120076589E-3</v>
      </c>
      <c r="F132" s="33">
        <v>9.0623515396028396E-3</v>
      </c>
      <c r="G132" s="173">
        <v>0.18937595979338265</v>
      </c>
      <c r="H132" s="173">
        <v>0.76319279631439352</v>
      </c>
      <c r="I132" s="33">
        <v>4.7431243892223925E-2</v>
      </c>
      <c r="J132" s="33">
        <v>0.20020961371021437</v>
      </c>
      <c r="K132" s="33">
        <v>0.16718534753121025</v>
      </c>
      <c r="L132" s="33">
        <v>0.54236801558346037</v>
      </c>
      <c r="M132" s="33">
        <v>7.3513328380403448E-2</v>
      </c>
      <c r="N132" s="33">
        <v>1.6723694794711481E-2</v>
      </c>
      <c r="O132" s="33">
        <v>0.40203131612357179</v>
      </c>
      <c r="P132" s="33">
        <v>0.11383834109183248</v>
      </c>
      <c r="Q132" s="33">
        <v>5.4591620820990262E-2</v>
      </c>
      <c r="R132" s="33">
        <v>5.7553956834532384E-2</v>
      </c>
      <c r="S132" s="33">
        <v>0.3254337706305544</v>
      </c>
      <c r="T132" s="33">
        <v>4.6550994498518745E-2</v>
      </c>
      <c r="U132" s="33">
        <v>0.22597507036590264</v>
      </c>
      <c r="V132" s="33">
        <v>4.9055086449537683E-2</v>
      </c>
      <c r="W132" s="33">
        <v>0.29875351829513463</v>
      </c>
      <c r="X132" s="33">
        <v>1.1258544431041415E-2</v>
      </c>
      <c r="Y132" s="33">
        <v>0.41495778045838355</v>
      </c>
      <c r="Z132" s="33">
        <v>0.50987066031313821</v>
      </c>
      <c r="AA132" s="33">
        <v>2.4506466984343053E-2</v>
      </c>
      <c r="AB132" s="33">
        <v>0.12321307011572498</v>
      </c>
      <c r="AC132" s="33">
        <v>0.23893805309734514</v>
      </c>
      <c r="AD132" s="33">
        <v>0.10347174948944858</v>
      </c>
    </row>
    <row r="133" spans="1:30" x14ac:dyDescent="0.35">
      <c r="A133" s="41">
        <v>2039</v>
      </c>
      <c r="B133" s="33">
        <v>1.7054984249493865E-2</v>
      </c>
      <c r="C133" s="33">
        <v>9.7543505748386578E-3</v>
      </c>
      <c r="D133" s="33">
        <v>0.95730713852405691</v>
      </c>
      <c r="E133" s="33">
        <v>6.8211751120076589E-3</v>
      </c>
      <c r="F133" s="33">
        <v>9.0623515396028396E-3</v>
      </c>
      <c r="G133" s="173">
        <v>0.18937595979338265</v>
      </c>
      <c r="H133" s="173">
        <v>0.76319279631439352</v>
      </c>
      <c r="I133" s="33">
        <v>4.7431243892223925E-2</v>
      </c>
      <c r="J133" s="33">
        <v>0.22894213738373767</v>
      </c>
      <c r="K133" s="33">
        <v>0.1911784858565235</v>
      </c>
      <c r="L133" s="33">
        <v>0.49382225967934529</v>
      </c>
      <c r="M133" s="33">
        <v>6.6933367924190024E-2</v>
      </c>
      <c r="N133" s="33">
        <v>1.9123749156203473E-2</v>
      </c>
      <c r="O133" s="33">
        <v>0.40203131612357179</v>
      </c>
      <c r="P133" s="33">
        <v>0.11383834109183248</v>
      </c>
      <c r="Q133" s="33">
        <v>5.4591620820990262E-2</v>
      </c>
      <c r="R133" s="33">
        <v>5.7553956834532384E-2</v>
      </c>
      <c r="S133" s="33">
        <v>0.3254337706305544</v>
      </c>
      <c r="T133" s="33">
        <v>4.6550994498518745E-2</v>
      </c>
      <c r="U133" s="33">
        <v>0.22597507036590264</v>
      </c>
      <c r="V133" s="33">
        <v>4.9055086449537683E-2</v>
      </c>
      <c r="W133" s="33">
        <v>0.29875351829513463</v>
      </c>
      <c r="X133" s="33">
        <v>1.1258544431041415E-2</v>
      </c>
      <c r="Y133" s="33">
        <v>0.41495778045838355</v>
      </c>
      <c r="Z133" s="33">
        <v>0.50987066031313821</v>
      </c>
      <c r="AA133" s="33">
        <v>2.4506466984343053E-2</v>
      </c>
      <c r="AB133" s="33">
        <v>0.12321307011572498</v>
      </c>
      <c r="AC133" s="33">
        <v>0.23893805309734514</v>
      </c>
      <c r="AD133" s="33">
        <v>0.10347174948944858</v>
      </c>
    </row>
    <row r="134" spans="1:30" x14ac:dyDescent="0.35">
      <c r="A134" s="41">
        <v>2040</v>
      </c>
      <c r="B134" s="33">
        <v>1.7054984249493865E-2</v>
      </c>
      <c r="C134" s="33">
        <v>9.7543505748386578E-3</v>
      </c>
      <c r="D134" s="33">
        <v>0.95730713852405691</v>
      </c>
      <c r="E134" s="33">
        <v>6.8211751120076589E-3</v>
      </c>
      <c r="F134" s="33">
        <v>9.0623515396028396E-3</v>
      </c>
      <c r="G134" s="173">
        <v>0.18937595979338265</v>
      </c>
      <c r="H134" s="173">
        <v>0.76319279631439352</v>
      </c>
      <c r="I134" s="33">
        <v>4.7431243892223925E-2</v>
      </c>
      <c r="J134" s="33">
        <v>0.2587110737539558</v>
      </c>
      <c r="K134" s="33">
        <v>0.21603708220691192</v>
      </c>
      <c r="L134" s="33">
        <v>0.44352540671319102</v>
      </c>
      <c r="M134" s="33">
        <v>6.0116061294070718E-2</v>
      </c>
      <c r="N134" s="33">
        <v>2.1610376031870413E-2</v>
      </c>
      <c r="O134" s="33">
        <v>0.40203131612357179</v>
      </c>
      <c r="P134" s="33">
        <v>0.11383834109183248</v>
      </c>
      <c r="Q134" s="33">
        <v>5.4591620820990262E-2</v>
      </c>
      <c r="R134" s="33">
        <v>5.7553956834532384E-2</v>
      </c>
      <c r="S134" s="33">
        <v>0.3254337706305544</v>
      </c>
      <c r="T134" s="33">
        <v>4.6550994498518745E-2</v>
      </c>
      <c r="U134" s="33">
        <v>0.22597507036590264</v>
      </c>
      <c r="V134" s="33">
        <v>4.9055086449537683E-2</v>
      </c>
      <c r="W134" s="33">
        <v>0.29875351829513463</v>
      </c>
      <c r="X134" s="33">
        <v>1.1258544431041415E-2</v>
      </c>
      <c r="Y134" s="33">
        <v>0.41495778045838355</v>
      </c>
      <c r="Z134" s="33">
        <v>0.50987066031313821</v>
      </c>
      <c r="AA134" s="33">
        <v>2.4506466984343053E-2</v>
      </c>
      <c r="AB134" s="33">
        <v>0.12321307011572498</v>
      </c>
      <c r="AC134" s="33">
        <v>0.23893805309734514</v>
      </c>
      <c r="AD134" s="33">
        <v>0.10347174948944858</v>
      </c>
    </row>
    <row r="135" spans="1:30" x14ac:dyDescent="0.35">
      <c r="A135" s="41">
        <v>2041</v>
      </c>
      <c r="B135" s="33">
        <v>1.7054984249493865E-2</v>
      </c>
      <c r="C135" s="33">
        <v>9.7543505748386578E-3</v>
      </c>
      <c r="D135" s="33">
        <v>0.95730713852405691</v>
      </c>
      <c r="E135" s="33">
        <v>6.8211751120076589E-3</v>
      </c>
      <c r="F135" s="33">
        <v>9.0623515396028396E-3</v>
      </c>
      <c r="G135" s="173">
        <v>0.18937595979338265</v>
      </c>
      <c r="H135" s="173">
        <v>0.76319279631439352</v>
      </c>
      <c r="I135" s="33">
        <v>4.7431243892223925E-2</v>
      </c>
      <c r="J135" s="33">
        <v>0.28997503821031129</v>
      </c>
      <c r="K135" s="33">
        <v>0.2421441040725284</v>
      </c>
      <c r="L135" s="33">
        <v>0.39070259155297116</v>
      </c>
      <c r="M135" s="33">
        <v>5.2956382173477284E-2</v>
      </c>
      <c r="N135" s="33">
        <v>2.4221883990711856E-2</v>
      </c>
      <c r="O135" s="33">
        <v>0.40203131612357179</v>
      </c>
      <c r="P135" s="33">
        <v>0.11383834109183248</v>
      </c>
      <c r="Q135" s="33">
        <v>5.4591620820990262E-2</v>
      </c>
      <c r="R135" s="33">
        <v>5.7553956834532384E-2</v>
      </c>
      <c r="S135" s="33">
        <v>0.3254337706305544</v>
      </c>
      <c r="T135" s="33">
        <v>4.6550994498518745E-2</v>
      </c>
      <c r="U135" s="33">
        <v>0.22597507036590264</v>
      </c>
      <c r="V135" s="33">
        <v>4.9055086449537683E-2</v>
      </c>
      <c r="W135" s="33">
        <v>0.29875351829513463</v>
      </c>
      <c r="X135" s="33">
        <v>1.1258544431041415E-2</v>
      </c>
      <c r="Y135" s="33">
        <v>0.41495778045838355</v>
      </c>
      <c r="Z135" s="33">
        <v>0.50987066031313821</v>
      </c>
      <c r="AA135" s="33">
        <v>2.4506466984343053E-2</v>
      </c>
      <c r="AB135" s="33">
        <v>0.12321307011572498</v>
      </c>
      <c r="AC135" s="33">
        <v>0.23893805309734514</v>
      </c>
      <c r="AD135" s="33">
        <v>0.10347174948944858</v>
      </c>
    </row>
    <row r="136" spans="1:30" x14ac:dyDescent="0.35">
      <c r="A136" s="41">
        <v>2042</v>
      </c>
      <c r="B136" s="33">
        <v>1.7054984249493865E-2</v>
      </c>
      <c r="C136" s="33">
        <v>9.7543505748386578E-3</v>
      </c>
      <c r="D136" s="33">
        <v>0.95730713852405691</v>
      </c>
      <c r="E136" s="33">
        <v>6.8211751120076589E-3</v>
      </c>
      <c r="F136" s="33">
        <v>9.0623515396028396E-3</v>
      </c>
      <c r="G136" s="173">
        <v>0.18937595979338265</v>
      </c>
      <c r="H136" s="173">
        <v>0.76319279631439352</v>
      </c>
      <c r="I136" s="33">
        <v>4.7431243892223925E-2</v>
      </c>
      <c r="J136" s="33">
        <v>0.32221398365299719</v>
      </c>
      <c r="K136" s="33">
        <v>0.26906528531848267</v>
      </c>
      <c r="L136" s="33">
        <v>0.33623247281749413</v>
      </c>
      <c r="M136" s="33">
        <v>4.5573425195062869E-2</v>
      </c>
      <c r="N136" s="33">
        <v>2.6914833015963018E-2</v>
      </c>
      <c r="O136" s="33">
        <v>0.40203131612357179</v>
      </c>
      <c r="P136" s="33">
        <v>0.11383834109183248</v>
      </c>
      <c r="Q136" s="33">
        <v>5.4591620820990262E-2</v>
      </c>
      <c r="R136" s="33">
        <v>5.7553956834532384E-2</v>
      </c>
      <c r="S136" s="33">
        <v>0.3254337706305544</v>
      </c>
      <c r="T136" s="33">
        <v>4.6550994498518745E-2</v>
      </c>
      <c r="U136" s="33">
        <v>0.22597507036590264</v>
      </c>
      <c r="V136" s="33">
        <v>4.9055086449537683E-2</v>
      </c>
      <c r="W136" s="33">
        <v>0.29875351829513463</v>
      </c>
      <c r="X136" s="33">
        <v>1.1258544431041415E-2</v>
      </c>
      <c r="Y136" s="33">
        <v>0.41495778045838355</v>
      </c>
      <c r="Z136" s="33">
        <v>0.50987066031313821</v>
      </c>
      <c r="AA136" s="33">
        <v>2.4506466984343053E-2</v>
      </c>
      <c r="AB136" s="33">
        <v>0.12321307011572498</v>
      </c>
      <c r="AC136" s="33">
        <v>0.23893805309734514</v>
      </c>
      <c r="AD136" s="33">
        <v>0.10347174948944858</v>
      </c>
    </row>
    <row r="137" spans="1:30" x14ac:dyDescent="0.35">
      <c r="A137" s="41">
        <v>2043</v>
      </c>
      <c r="B137" s="33">
        <v>1.7054984249493865E-2</v>
      </c>
      <c r="C137" s="33">
        <v>9.7543505748386578E-3</v>
      </c>
      <c r="D137" s="33">
        <v>0.95730713852405691</v>
      </c>
      <c r="E137" s="33">
        <v>6.8211751120076589E-3</v>
      </c>
      <c r="F137" s="33">
        <v>9.0623515396028396E-3</v>
      </c>
      <c r="G137" s="173">
        <v>0.18937595979338265</v>
      </c>
      <c r="H137" s="173">
        <v>0.76319279631439352</v>
      </c>
      <c r="I137" s="33">
        <v>4.7431243892223925E-2</v>
      </c>
      <c r="J137" s="33">
        <v>0.35547424033697611</v>
      </c>
      <c r="K137" s="33">
        <v>0.29683931409582592</v>
      </c>
      <c r="L137" s="33">
        <v>0.28003677206265476</v>
      </c>
      <c r="M137" s="33">
        <v>3.7956580387735389E-2</v>
      </c>
      <c r="N137" s="33">
        <v>2.9693093116807762E-2</v>
      </c>
      <c r="O137" s="33">
        <v>0.40203131612357179</v>
      </c>
      <c r="P137" s="33">
        <v>0.11383834109183248</v>
      </c>
      <c r="Q137" s="33">
        <v>5.4591620820990262E-2</v>
      </c>
      <c r="R137" s="33">
        <v>5.7553956834532384E-2</v>
      </c>
      <c r="S137" s="33">
        <v>0.3254337706305544</v>
      </c>
      <c r="T137" s="33">
        <v>4.6550994498518745E-2</v>
      </c>
      <c r="U137" s="33">
        <v>0.22597507036590264</v>
      </c>
      <c r="V137" s="33">
        <v>4.9055086449537683E-2</v>
      </c>
      <c r="W137" s="33">
        <v>0.29875351829513463</v>
      </c>
      <c r="X137" s="33">
        <v>1.1258544431041415E-2</v>
      </c>
      <c r="Y137" s="33">
        <v>0.41495778045838355</v>
      </c>
      <c r="Z137" s="33">
        <v>0.50987066031313821</v>
      </c>
      <c r="AA137" s="33">
        <v>2.4506466984343053E-2</v>
      </c>
      <c r="AB137" s="33">
        <v>0.12321307011572498</v>
      </c>
      <c r="AC137" s="33">
        <v>0.23893805309734514</v>
      </c>
      <c r="AD137" s="33">
        <v>0.10347174948944858</v>
      </c>
    </row>
    <row r="138" spans="1:30" x14ac:dyDescent="0.35">
      <c r="A138" s="41">
        <v>2044</v>
      </c>
      <c r="B138" s="33">
        <v>1.7054984249493865E-2</v>
      </c>
      <c r="C138" s="33">
        <v>9.7543505748386578E-3</v>
      </c>
      <c r="D138" s="33">
        <v>0.95730713852405691</v>
      </c>
      <c r="E138" s="33">
        <v>6.8211751120076589E-3</v>
      </c>
      <c r="F138" s="33">
        <v>9.0623515396028396E-3</v>
      </c>
      <c r="G138" s="173">
        <v>0.18937595979338265</v>
      </c>
      <c r="H138" s="173">
        <v>0.76319279631439352</v>
      </c>
      <c r="I138" s="33">
        <v>4.7431243892223925E-2</v>
      </c>
      <c r="J138" s="33">
        <v>0.3898051211935834</v>
      </c>
      <c r="K138" s="33">
        <v>0.32550736924412693</v>
      </c>
      <c r="L138" s="33">
        <v>0.22203217138868439</v>
      </c>
      <c r="M138" s="33">
        <v>3.0094554725450379E-2</v>
      </c>
      <c r="N138" s="33">
        <v>3.2560783448154787E-2</v>
      </c>
      <c r="O138" s="33">
        <v>0.40203131612357179</v>
      </c>
      <c r="P138" s="33">
        <v>0.11383834109183248</v>
      </c>
      <c r="Q138" s="33">
        <v>5.4591620820990262E-2</v>
      </c>
      <c r="R138" s="33">
        <v>5.7553956834532384E-2</v>
      </c>
      <c r="S138" s="33">
        <v>0.3254337706305544</v>
      </c>
      <c r="T138" s="33">
        <v>4.6550994498518745E-2</v>
      </c>
      <c r="U138" s="33">
        <v>0.22597507036590264</v>
      </c>
      <c r="V138" s="33">
        <v>4.9055086449537683E-2</v>
      </c>
      <c r="W138" s="33">
        <v>0.29875351829513463</v>
      </c>
      <c r="X138" s="33">
        <v>1.1258544431041415E-2</v>
      </c>
      <c r="Y138" s="33">
        <v>0.41495778045838355</v>
      </c>
      <c r="Z138" s="33">
        <v>0.50987066031313821</v>
      </c>
      <c r="AA138" s="33">
        <v>2.4506466984343053E-2</v>
      </c>
      <c r="AB138" s="33">
        <v>0.12321307011572498</v>
      </c>
      <c r="AC138" s="33">
        <v>0.23893805309734514</v>
      </c>
      <c r="AD138" s="33">
        <v>0.10347174948944858</v>
      </c>
    </row>
    <row r="139" spans="1:30" x14ac:dyDescent="0.35">
      <c r="A139" s="41">
        <v>2045</v>
      </c>
      <c r="B139" s="33">
        <v>1.7054984249493865E-2</v>
      </c>
      <c r="C139" s="33">
        <v>9.7543505748386578E-3</v>
      </c>
      <c r="D139" s="33">
        <v>0.95730713852405691</v>
      </c>
      <c r="E139" s="33">
        <v>6.8211751120076589E-3</v>
      </c>
      <c r="F139" s="33">
        <v>9.0623515396028396E-3</v>
      </c>
      <c r="G139" s="173">
        <v>0.18937595979338265</v>
      </c>
      <c r="H139" s="173">
        <v>0.76319279631439352</v>
      </c>
      <c r="I139" s="33">
        <v>4.7431243892223925E-2</v>
      </c>
      <c r="J139" s="33">
        <v>0.42525916578246276</v>
      </c>
      <c r="K139" s="33">
        <v>0.35511332400391288</v>
      </c>
      <c r="L139" s="33">
        <v>0.16212990126504168</v>
      </c>
      <c r="M139" s="33">
        <v>2.197531626041346E-2</v>
      </c>
      <c r="N139" s="33">
        <v>3.5522292688169171E-2</v>
      </c>
      <c r="O139" s="33">
        <v>0.40203131612357179</v>
      </c>
      <c r="P139" s="33">
        <v>0.11383834109183248</v>
      </c>
      <c r="Q139" s="33">
        <v>5.4591620820990262E-2</v>
      </c>
      <c r="R139" s="33">
        <v>5.7553956834532384E-2</v>
      </c>
      <c r="S139" s="33">
        <v>0.3254337706305544</v>
      </c>
      <c r="T139" s="33">
        <v>4.6550994498518745E-2</v>
      </c>
      <c r="U139" s="33">
        <v>0.22597507036590264</v>
      </c>
      <c r="V139" s="33">
        <v>4.9055086449537683E-2</v>
      </c>
      <c r="W139" s="33">
        <v>0.29875351829513463</v>
      </c>
      <c r="X139" s="33">
        <v>1.1258544431041415E-2</v>
      </c>
      <c r="Y139" s="33">
        <v>0.41495778045838355</v>
      </c>
      <c r="Z139" s="33">
        <v>0.50987066031313821</v>
      </c>
      <c r="AA139" s="33">
        <v>2.4506466984343053E-2</v>
      </c>
      <c r="AB139" s="33">
        <v>0.12321307011572498</v>
      </c>
      <c r="AC139" s="33">
        <v>0.23893805309734514</v>
      </c>
      <c r="AD139" s="33">
        <v>0.10347174948944858</v>
      </c>
    </row>
    <row r="140" spans="1:30" x14ac:dyDescent="0.35">
      <c r="A140" s="41">
        <v>2046</v>
      </c>
      <c r="B140" s="33">
        <v>1.7054984249493865E-2</v>
      </c>
      <c r="C140" s="33">
        <v>9.7543505748386578E-3</v>
      </c>
      <c r="D140" s="33">
        <v>0.95730713852405691</v>
      </c>
      <c r="E140" s="33">
        <v>6.8211751120076589E-3</v>
      </c>
      <c r="F140" s="33">
        <v>9.0623515396028396E-3</v>
      </c>
      <c r="G140" s="173">
        <v>0.18937595979338265</v>
      </c>
      <c r="H140" s="173">
        <v>0.76319279631439352</v>
      </c>
      <c r="I140" s="33">
        <v>4.7431243892223925E-2</v>
      </c>
      <c r="J140" s="33">
        <v>0.42525916578246276</v>
      </c>
      <c r="K140" s="33">
        <v>0.35511332400391288</v>
      </c>
      <c r="L140" s="33">
        <v>0.16212990126504168</v>
      </c>
      <c r="M140" s="33">
        <v>2.197531626041346E-2</v>
      </c>
      <c r="N140" s="33">
        <v>3.5522292688169171E-2</v>
      </c>
      <c r="O140" s="33">
        <v>0.40203131612357179</v>
      </c>
      <c r="P140" s="33">
        <v>0.11383834109183248</v>
      </c>
      <c r="Q140" s="33">
        <v>5.4591620820990262E-2</v>
      </c>
      <c r="R140" s="33">
        <v>5.7553956834532384E-2</v>
      </c>
      <c r="S140" s="33">
        <v>0.3254337706305544</v>
      </c>
      <c r="T140" s="33">
        <v>4.6550994498518745E-2</v>
      </c>
      <c r="U140" s="33">
        <v>0.22597507036590264</v>
      </c>
      <c r="V140" s="33">
        <v>4.9055086449537683E-2</v>
      </c>
      <c r="W140" s="33">
        <v>0.29875351829513463</v>
      </c>
      <c r="X140" s="33">
        <v>1.1258544431041415E-2</v>
      </c>
      <c r="Y140" s="33">
        <v>0.41495778045838355</v>
      </c>
      <c r="Z140" s="33">
        <v>0.50987066031313821</v>
      </c>
      <c r="AA140" s="33">
        <v>2.4506466984343053E-2</v>
      </c>
      <c r="AB140" s="33">
        <v>0.12321307011572498</v>
      </c>
      <c r="AC140" s="33">
        <v>0.23893805309734514</v>
      </c>
      <c r="AD140" s="33">
        <v>0.10347174948944858</v>
      </c>
    </row>
    <row r="141" spans="1:30" x14ac:dyDescent="0.35">
      <c r="A141" s="41">
        <v>2047</v>
      </c>
      <c r="B141" s="33">
        <v>1.7054984249493865E-2</v>
      </c>
      <c r="C141" s="33">
        <v>9.7543505748386578E-3</v>
      </c>
      <c r="D141" s="33">
        <v>0.95730713852405691</v>
      </c>
      <c r="E141" s="33">
        <v>6.8211751120076589E-3</v>
      </c>
      <c r="F141" s="33">
        <v>9.0623515396028396E-3</v>
      </c>
      <c r="G141" s="173">
        <v>0.18937595979338265</v>
      </c>
      <c r="H141" s="173">
        <v>0.76319279631439352</v>
      </c>
      <c r="I141" s="33">
        <v>4.7431243892223925E-2</v>
      </c>
      <c r="J141" s="33">
        <v>0.42525916578246276</v>
      </c>
      <c r="K141" s="33">
        <v>0.35511332400391288</v>
      </c>
      <c r="L141" s="33">
        <v>0.16212990126504168</v>
      </c>
      <c r="M141" s="33">
        <v>2.197531626041346E-2</v>
      </c>
      <c r="N141" s="33">
        <v>3.5522292688169171E-2</v>
      </c>
      <c r="O141" s="33">
        <v>0.40203131612357179</v>
      </c>
      <c r="P141" s="33">
        <v>0.11383834109183248</v>
      </c>
      <c r="Q141" s="33">
        <v>5.4591620820990262E-2</v>
      </c>
      <c r="R141" s="33">
        <v>5.7553956834532384E-2</v>
      </c>
      <c r="S141" s="33">
        <v>0.3254337706305544</v>
      </c>
      <c r="T141" s="33">
        <v>4.6550994498518745E-2</v>
      </c>
      <c r="U141" s="33">
        <v>0.22597507036590264</v>
      </c>
      <c r="V141" s="33">
        <v>4.9055086449537683E-2</v>
      </c>
      <c r="W141" s="33">
        <v>0.29875351829513463</v>
      </c>
      <c r="X141" s="33">
        <v>1.1258544431041415E-2</v>
      </c>
      <c r="Y141" s="33">
        <v>0.41495778045838355</v>
      </c>
      <c r="Z141" s="33">
        <v>0.50987066031313821</v>
      </c>
      <c r="AA141" s="33">
        <v>2.4506466984343053E-2</v>
      </c>
      <c r="AB141" s="33">
        <v>0.12321307011572498</v>
      </c>
      <c r="AC141" s="33">
        <v>0.23893805309734514</v>
      </c>
      <c r="AD141" s="33">
        <v>0.10347174948944858</v>
      </c>
    </row>
    <row r="142" spans="1:30" x14ac:dyDescent="0.35">
      <c r="A142" s="41">
        <v>2048</v>
      </c>
      <c r="B142" s="33">
        <v>1.7054984249493865E-2</v>
      </c>
      <c r="C142" s="33">
        <v>9.7543505748386578E-3</v>
      </c>
      <c r="D142" s="33">
        <v>0.95730713852405691</v>
      </c>
      <c r="E142" s="33">
        <v>6.8211751120076589E-3</v>
      </c>
      <c r="F142" s="33">
        <v>9.0623515396028396E-3</v>
      </c>
      <c r="G142" s="173">
        <v>0.18937595979338265</v>
      </c>
      <c r="H142" s="173">
        <v>0.76319279631439352</v>
      </c>
      <c r="I142" s="33">
        <v>4.7431243892223925E-2</v>
      </c>
      <c r="J142" s="33">
        <v>0.42525916578246276</v>
      </c>
      <c r="K142" s="33">
        <v>0.35511332400391288</v>
      </c>
      <c r="L142" s="33">
        <v>0.16212990126504168</v>
      </c>
      <c r="M142" s="33">
        <v>2.197531626041346E-2</v>
      </c>
      <c r="N142" s="33">
        <v>3.5522292688169171E-2</v>
      </c>
      <c r="O142" s="33">
        <v>0.40203131612357179</v>
      </c>
      <c r="P142" s="33">
        <v>0.11383834109183248</v>
      </c>
      <c r="Q142" s="33">
        <v>5.4591620820990262E-2</v>
      </c>
      <c r="R142" s="33">
        <v>5.7553956834532384E-2</v>
      </c>
      <c r="S142" s="33">
        <v>0.3254337706305544</v>
      </c>
      <c r="T142" s="33">
        <v>4.6550994498518745E-2</v>
      </c>
      <c r="U142" s="33">
        <v>0.22597507036590264</v>
      </c>
      <c r="V142" s="33">
        <v>4.9055086449537683E-2</v>
      </c>
      <c r="W142" s="33">
        <v>0.29875351829513463</v>
      </c>
      <c r="X142" s="33">
        <v>1.1258544431041415E-2</v>
      </c>
      <c r="Y142" s="33">
        <v>0.41495778045838355</v>
      </c>
      <c r="Z142" s="33">
        <v>0.50987066031313821</v>
      </c>
      <c r="AA142" s="33">
        <v>2.4506466984343053E-2</v>
      </c>
      <c r="AB142" s="33">
        <v>0.12321307011572498</v>
      </c>
      <c r="AC142" s="33">
        <v>0.23893805309734514</v>
      </c>
      <c r="AD142" s="33">
        <v>0.10347174948944858</v>
      </c>
    </row>
    <row r="143" spans="1:30" x14ac:dyDescent="0.35">
      <c r="A143" s="41">
        <v>2049</v>
      </c>
      <c r="B143" s="33">
        <v>1.7054984249493865E-2</v>
      </c>
      <c r="C143" s="33">
        <v>9.7543505748386578E-3</v>
      </c>
      <c r="D143" s="33">
        <v>0.95730713852405691</v>
      </c>
      <c r="E143" s="33">
        <v>6.8211751120076589E-3</v>
      </c>
      <c r="F143" s="33">
        <v>9.0623515396028396E-3</v>
      </c>
      <c r="G143" s="173">
        <v>0.18937595979338265</v>
      </c>
      <c r="H143" s="173">
        <v>0.76319279631439352</v>
      </c>
      <c r="I143" s="33">
        <v>4.7431243892223925E-2</v>
      </c>
      <c r="J143" s="33">
        <v>0.42525916578246276</v>
      </c>
      <c r="K143" s="33">
        <v>0.35511332400391288</v>
      </c>
      <c r="L143" s="33">
        <v>0.16212990126504168</v>
      </c>
      <c r="M143" s="33">
        <v>2.197531626041346E-2</v>
      </c>
      <c r="N143" s="33">
        <v>3.5522292688169171E-2</v>
      </c>
      <c r="O143" s="33">
        <v>0.40203131612357179</v>
      </c>
      <c r="P143" s="33">
        <v>0.11383834109183248</v>
      </c>
      <c r="Q143" s="33">
        <v>5.4591620820990262E-2</v>
      </c>
      <c r="R143" s="33">
        <v>5.7553956834532384E-2</v>
      </c>
      <c r="S143" s="33">
        <v>0.3254337706305544</v>
      </c>
      <c r="T143" s="33">
        <v>4.6550994498518745E-2</v>
      </c>
      <c r="U143" s="33">
        <v>0.22597507036590264</v>
      </c>
      <c r="V143" s="33">
        <v>4.9055086449537683E-2</v>
      </c>
      <c r="W143" s="33">
        <v>0.29875351829513463</v>
      </c>
      <c r="X143" s="33">
        <v>1.1258544431041415E-2</v>
      </c>
      <c r="Y143" s="33">
        <v>0.41495778045838355</v>
      </c>
      <c r="Z143" s="33">
        <v>0.50987066031313821</v>
      </c>
      <c r="AA143" s="33">
        <v>2.4506466984343053E-2</v>
      </c>
      <c r="AB143" s="33">
        <v>0.12321307011572498</v>
      </c>
      <c r="AC143" s="33">
        <v>0.23893805309734514</v>
      </c>
      <c r="AD143" s="33">
        <v>0.10347174948944858</v>
      </c>
    </row>
    <row r="144" spans="1:30" x14ac:dyDescent="0.35">
      <c r="A144" s="41">
        <v>2050</v>
      </c>
      <c r="B144" s="33">
        <v>1.7054984249493865E-2</v>
      </c>
      <c r="C144" s="33">
        <v>9.7543505748386578E-3</v>
      </c>
      <c r="D144" s="33">
        <v>0.95730713852405691</v>
      </c>
      <c r="E144" s="33">
        <v>6.8211751120076589E-3</v>
      </c>
      <c r="F144" s="33">
        <v>9.0623515396028396E-3</v>
      </c>
      <c r="G144" s="173">
        <v>0.18937595979338265</v>
      </c>
      <c r="H144" s="173">
        <v>0.76319279631439352</v>
      </c>
      <c r="I144" s="33">
        <v>4.7431243892223925E-2</v>
      </c>
      <c r="J144" s="33">
        <v>0.42525916578246276</v>
      </c>
      <c r="K144" s="33">
        <v>0.35511332400391288</v>
      </c>
      <c r="L144" s="33">
        <v>0.16212990126504168</v>
      </c>
      <c r="M144" s="33">
        <v>2.197531626041346E-2</v>
      </c>
      <c r="N144" s="33">
        <v>3.5522292688169171E-2</v>
      </c>
      <c r="O144" s="33">
        <v>0.40203131612357179</v>
      </c>
      <c r="P144" s="33">
        <v>0.11383834109183248</v>
      </c>
      <c r="Q144" s="33">
        <v>5.4591620820990262E-2</v>
      </c>
      <c r="R144" s="33">
        <v>5.7553956834532384E-2</v>
      </c>
      <c r="S144" s="33">
        <v>0.3254337706305544</v>
      </c>
      <c r="T144" s="33">
        <v>4.6550994498518745E-2</v>
      </c>
      <c r="U144" s="33">
        <v>0.22597507036590264</v>
      </c>
      <c r="V144" s="33">
        <v>4.9055086449537683E-2</v>
      </c>
      <c r="W144" s="33">
        <v>0.29875351829513463</v>
      </c>
      <c r="X144" s="33">
        <v>1.1258544431041415E-2</v>
      </c>
      <c r="Y144" s="33">
        <v>0.41495778045838355</v>
      </c>
      <c r="Z144" s="33">
        <v>0.50987066031313821</v>
      </c>
      <c r="AA144" s="33">
        <v>2.4506466984343053E-2</v>
      </c>
      <c r="AB144" s="33">
        <v>0.12321307011572498</v>
      </c>
      <c r="AC144" s="33">
        <v>0.23893805309734514</v>
      </c>
      <c r="AD144" s="33">
        <v>0.10347174948944858</v>
      </c>
    </row>
  </sheetData>
  <mergeCells count="6">
    <mergeCell ref="Z111:AD111"/>
    <mergeCell ref="B111:F111"/>
    <mergeCell ref="G111:I111"/>
    <mergeCell ref="J111:N111"/>
    <mergeCell ref="O111:T111"/>
    <mergeCell ref="U111:Y111"/>
  </mergeCells>
  <phoneticPr fontId="6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EDAB-90EB-43BD-8FB7-09014F207757}">
  <dimension ref="A1:CS144"/>
  <sheetViews>
    <sheetView zoomScale="70" zoomScaleNormal="55" workbookViewId="0">
      <pane xSplit="1" topLeftCell="B1" activePane="topRight" state="frozen"/>
      <selection pane="topRight" activeCell="U121" sqref="U121"/>
    </sheetView>
  </sheetViews>
  <sheetFormatPr defaultRowHeight="14.5" x14ac:dyDescent="0.35"/>
  <cols>
    <col min="1" max="1" width="41.6328125" bestFit="1" customWidth="1"/>
    <col min="2" max="2" width="15.6328125" bestFit="1" customWidth="1"/>
    <col min="3" max="3" width="14.90625" bestFit="1" customWidth="1"/>
    <col min="4" max="4" width="12.6328125" bestFit="1" customWidth="1"/>
    <col min="5" max="5" width="16.36328125" bestFit="1" customWidth="1"/>
    <col min="6" max="6" width="13.36328125" bestFit="1" customWidth="1"/>
    <col min="7" max="7" width="15.6328125" bestFit="1" customWidth="1"/>
    <col min="8" max="8" width="12.6328125" bestFit="1" customWidth="1"/>
    <col min="9" max="9" width="12.453125" bestFit="1" customWidth="1"/>
    <col min="10" max="10" width="15.6328125" bestFit="1" customWidth="1"/>
    <col min="11" max="11" width="15.08984375" bestFit="1" customWidth="1"/>
    <col min="12" max="12" width="12.6328125" bestFit="1" customWidth="1"/>
    <col min="13" max="14" width="12.453125" bestFit="1" customWidth="1"/>
    <col min="15" max="15" width="15.6328125" bestFit="1" customWidth="1"/>
    <col min="16" max="16" width="13.36328125" bestFit="1" customWidth="1"/>
    <col min="17" max="17" width="12.6328125" bestFit="1" customWidth="1"/>
    <col min="18" max="18" width="16.36328125" bestFit="1" customWidth="1"/>
    <col min="19" max="19" width="12.453125" bestFit="1" customWidth="1"/>
    <col min="20" max="20" width="14.90625" bestFit="1" customWidth="1"/>
    <col min="21" max="21" width="15.6328125" bestFit="1" customWidth="1"/>
    <col min="22" max="22" width="12.453125" bestFit="1" customWidth="1"/>
    <col min="23" max="23" width="14.90625" bestFit="1" customWidth="1"/>
    <col min="24" max="24" width="12.6328125" bestFit="1" customWidth="1"/>
    <col min="25" max="25" width="12.453125" bestFit="1" customWidth="1"/>
    <col min="26" max="26" width="15.6328125" bestFit="1" customWidth="1"/>
    <col min="27" max="27" width="12.453125" bestFit="1" customWidth="1"/>
    <col min="28" max="28" width="12.6328125" bestFit="1" customWidth="1"/>
    <col min="29" max="29" width="12.453125" bestFit="1" customWidth="1"/>
    <col min="30" max="30" width="14.90625" bestFit="1" customWidth="1"/>
    <col min="66" max="66" width="43.08984375" bestFit="1" customWidth="1"/>
  </cols>
  <sheetData>
    <row r="1" spans="1:63" ht="20" thickBot="1" x14ac:dyDescent="0.5">
      <c r="A1" s="58" t="s">
        <v>161</v>
      </c>
    </row>
    <row r="2" spans="1:63" ht="15" thickTop="1" x14ac:dyDescent="0.35">
      <c r="A2" t="s">
        <v>122</v>
      </c>
    </row>
    <row r="3" spans="1:63" x14ac:dyDescent="0.35">
      <c r="A3" t="s">
        <v>123</v>
      </c>
    </row>
    <row r="4" spans="1:63" x14ac:dyDescent="0.35">
      <c r="A4" t="s">
        <v>124</v>
      </c>
    </row>
    <row r="5" spans="1:63" x14ac:dyDescent="0.35">
      <c r="A5" t="s">
        <v>125</v>
      </c>
    </row>
    <row r="7" spans="1:63" x14ac:dyDescent="0.35">
      <c r="A7" s="125" t="s">
        <v>52</v>
      </c>
      <c r="B7" s="118" t="s">
        <v>16</v>
      </c>
      <c r="C7" s="118" t="s">
        <v>17</v>
      </c>
      <c r="D7" s="118" t="s">
        <v>18</v>
      </c>
      <c r="E7" s="118" t="s">
        <v>19</v>
      </c>
      <c r="F7" s="118" t="s">
        <v>20</v>
      </c>
      <c r="G7" s="118" t="s">
        <v>21</v>
      </c>
      <c r="H7" s="118" t="s">
        <v>22</v>
      </c>
      <c r="I7" s="118" t="s">
        <v>23</v>
      </c>
      <c r="J7" s="118" t="s">
        <v>24</v>
      </c>
      <c r="K7" s="118" t="s">
        <v>25</v>
      </c>
      <c r="L7" s="118" t="s">
        <v>26</v>
      </c>
      <c r="M7" s="118" t="s">
        <v>37</v>
      </c>
      <c r="N7" s="118" t="s">
        <v>54</v>
      </c>
      <c r="O7" s="118" t="s">
        <v>55</v>
      </c>
      <c r="P7" s="118" t="s">
        <v>56</v>
      </c>
      <c r="Q7" s="118" t="s">
        <v>57</v>
      </c>
      <c r="R7" s="118" t="s">
        <v>58</v>
      </c>
      <c r="S7" s="118" t="s">
        <v>59</v>
      </c>
      <c r="T7" s="118" t="s">
        <v>60</v>
      </c>
      <c r="U7" s="118" t="s">
        <v>61</v>
      </c>
      <c r="V7" s="118" t="s">
        <v>62</v>
      </c>
      <c r="W7" s="118" t="s">
        <v>85</v>
      </c>
      <c r="X7" s="118" t="s">
        <v>86</v>
      </c>
      <c r="Y7" s="118" t="s">
        <v>87</v>
      </c>
      <c r="Z7" s="118" t="s">
        <v>88</v>
      </c>
      <c r="AA7" s="118" t="s">
        <v>89</v>
      </c>
      <c r="AB7" s="118" t="s">
        <v>126</v>
      </c>
      <c r="AC7" s="118" t="s">
        <v>127</v>
      </c>
      <c r="AD7" s="118" t="s">
        <v>128</v>
      </c>
      <c r="AE7" s="118" t="s">
        <v>129</v>
      </c>
      <c r="AF7" s="118" t="s">
        <v>118</v>
      </c>
      <c r="AG7" s="118" t="s">
        <v>38</v>
      </c>
      <c r="AH7" s="118" t="s">
        <v>40</v>
      </c>
      <c r="AI7" s="118" t="s">
        <v>41</v>
      </c>
      <c r="AJ7" s="118" t="s">
        <v>42</v>
      </c>
      <c r="AK7" s="118" t="s">
        <v>43</v>
      </c>
      <c r="AL7" s="118" t="s">
        <v>44</v>
      </c>
      <c r="AM7" s="118" t="s">
        <v>45</v>
      </c>
      <c r="AN7" s="118" t="s">
        <v>46</v>
      </c>
      <c r="AO7" s="118" t="s">
        <v>47</v>
      </c>
      <c r="AP7" s="118" t="s">
        <v>48</v>
      </c>
      <c r="AQ7" s="118" t="s">
        <v>39</v>
      </c>
      <c r="AR7" s="119" t="s">
        <v>90</v>
      </c>
      <c r="AS7" s="119" t="s">
        <v>91</v>
      </c>
      <c r="AT7" s="119" t="s">
        <v>92</v>
      </c>
      <c r="AU7" s="119" t="s">
        <v>93</v>
      </c>
      <c r="AV7" s="119" t="s">
        <v>94</v>
      </c>
      <c r="AW7" s="119" t="s">
        <v>95</v>
      </c>
      <c r="AX7" s="119" t="s">
        <v>96</v>
      </c>
      <c r="AY7" s="119" t="s">
        <v>97</v>
      </c>
      <c r="AZ7" s="119" t="s">
        <v>98</v>
      </c>
      <c r="BA7" s="119" t="s">
        <v>99</v>
      </c>
      <c r="BB7" s="119" t="s">
        <v>100</v>
      </c>
      <c r="BC7" s="119" t="s">
        <v>101</v>
      </c>
      <c r="BD7" s="119" t="s">
        <v>102</v>
      </c>
      <c r="BE7" s="119" t="s">
        <v>103</v>
      </c>
      <c r="BF7" s="120" t="s">
        <v>104</v>
      </c>
      <c r="BG7" s="120">
        <v>20.46</v>
      </c>
      <c r="BH7" s="120">
        <v>20.47</v>
      </c>
      <c r="BI7" s="120">
        <v>20.48</v>
      </c>
      <c r="BJ7" s="120">
        <v>20.49</v>
      </c>
      <c r="BK7" s="120">
        <v>20.5</v>
      </c>
    </row>
    <row r="8" spans="1:63" x14ac:dyDescent="0.35">
      <c r="A8" s="126" t="s">
        <v>4</v>
      </c>
      <c r="B8" s="127">
        <f>'Initial demand info'!F9</f>
        <v>356529.17533000006</v>
      </c>
      <c r="C8" s="128">
        <f>B8+($G8-$B8)/5</f>
        <v>354089.40575045662</v>
      </c>
      <c r="D8" s="128">
        <f t="shared" ref="D8:F8" si="0">C8+($G8-$B8)/5</f>
        <v>351649.63617091317</v>
      </c>
      <c r="E8" s="128">
        <f t="shared" si="0"/>
        <v>349209.86659136973</v>
      </c>
      <c r="F8" s="128">
        <f t="shared" si="0"/>
        <v>346770.09701182629</v>
      </c>
      <c r="G8" s="127">
        <f>'Initial demand info'!K33</f>
        <v>344330.32743228285</v>
      </c>
      <c r="H8" s="128">
        <f>G8+($L8-$G8)/5</f>
        <v>339718.28746985708</v>
      </c>
      <c r="I8" s="128">
        <f t="shared" ref="I8:K8" si="1">H8+($L8-$G8)/5</f>
        <v>335106.24750743131</v>
      </c>
      <c r="J8" s="128">
        <f t="shared" si="1"/>
        <v>330494.20754500554</v>
      </c>
      <c r="K8" s="128">
        <f t="shared" si="1"/>
        <v>325882.16758257977</v>
      </c>
      <c r="L8" s="127">
        <f>'Initial demand info'!L33</f>
        <v>321270.12762015389</v>
      </c>
      <c r="M8" s="128">
        <f>L8+($Q8-$L8)/5</f>
        <v>319038.39765113703</v>
      </c>
      <c r="N8" s="128">
        <f t="shared" ref="N8:P8" si="2">M8+($Q8-$L8)/5</f>
        <v>316806.66768212017</v>
      </c>
      <c r="O8" s="128">
        <f t="shared" si="2"/>
        <v>314574.93771310331</v>
      </c>
      <c r="P8" s="128">
        <f t="shared" si="2"/>
        <v>312343.20774408645</v>
      </c>
      <c r="Q8" s="127">
        <f>'Initial demand info'!M33</f>
        <v>310111.47777506959</v>
      </c>
      <c r="R8" s="128">
        <f>Q8+($V8-$Q8)/5</f>
        <v>307655.50678473111</v>
      </c>
      <c r="S8" s="128">
        <f t="shared" ref="S8:T8" si="3">R8+($V8-$Q8)/5</f>
        <v>305199.53579439264</v>
      </c>
      <c r="T8" s="128">
        <f t="shared" si="3"/>
        <v>302743.56480405416</v>
      </c>
      <c r="U8" s="128">
        <f>T8+($V8-$Q8)/5</f>
        <v>300287.59381371568</v>
      </c>
      <c r="V8" s="127">
        <f>'Initial demand info'!N33</f>
        <v>297831.6228233772</v>
      </c>
      <c r="W8" s="128">
        <f>V8+($AA8-$V8)/5</f>
        <v>295253.191391712</v>
      </c>
      <c r="X8" s="128">
        <f t="shared" ref="X8:Z8" si="4">W8+($AA8-$V8)/5</f>
        <v>292674.75996004679</v>
      </c>
      <c r="Y8" s="128">
        <f t="shared" si="4"/>
        <v>290096.32852838159</v>
      </c>
      <c r="Z8" s="128">
        <f t="shared" si="4"/>
        <v>287517.89709671639</v>
      </c>
      <c r="AA8" s="127">
        <f>'Initial demand info'!O33</f>
        <v>284939.46566505113</v>
      </c>
      <c r="AB8" s="128">
        <f>AA8+($AF8-$AA8)/5</f>
        <v>282321.84974926914</v>
      </c>
      <c r="AC8" s="128">
        <f t="shared" ref="AC8:AE8" si="5">AB8+($AF8-$AA8)/5</f>
        <v>279704.23383348715</v>
      </c>
      <c r="AD8" s="128">
        <f t="shared" si="5"/>
        <v>277086.61791770515</v>
      </c>
      <c r="AE8" s="128">
        <f t="shared" si="5"/>
        <v>274469.00200192316</v>
      </c>
      <c r="AF8" s="127">
        <f>'Initial demand info'!P33</f>
        <v>271851.38608614117</v>
      </c>
      <c r="AG8" s="66">
        <v>1.0000000000000002</v>
      </c>
      <c r="AH8" s="66">
        <v>1.0000000000000002</v>
      </c>
      <c r="AI8" s="66">
        <v>1.0000000000000002</v>
      </c>
      <c r="AJ8" s="66">
        <v>1.0000000000000004</v>
      </c>
      <c r="AK8" s="66">
        <v>1.0000000000000004</v>
      </c>
      <c r="AL8" s="174">
        <v>1</v>
      </c>
      <c r="AM8" s="174">
        <v>1</v>
      </c>
      <c r="AN8" s="174">
        <v>1.0000000000000002</v>
      </c>
      <c r="AO8" s="174">
        <v>1.0000000000000002</v>
      </c>
      <c r="AP8" s="174">
        <v>1.0000000000000004</v>
      </c>
      <c r="AQ8" s="174">
        <v>0.99999999999999989</v>
      </c>
      <c r="AR8" s="174">
        <v>0.99999999999999989</v>
      </c>
      <c r="AS8" s="174">
        <v>0.99999999999999989</v>
      </c>
      <c r="AT8" s="174">
        <v>0.99999999999999989</v>
      </c>
      <c r="AU8" s="174">
        <v>0.99999999999999989</v>
      </c>
      <c r="AV8" s="174">
        <v>0.99999999999999989</v>
      </c>
      <c r="AW8" s="174">
        <v>0.99999999999999989</v>
      </c>
      <c r="AX8" s="174">
        <v>0.99999999999999989</v>
      </c>
      <c r="AY8" s="174">
        <v>0.99999999999999989</v>
      </c>
      <c r="AZ8" s="174">
        <v>0.99999999999999989</v>
      </c>
      <c r="BA8" s="174">
        <v>0.99999999999999989</v>
      </c>
      <c r="BB8" s="174">
        <v>0.99999999999999989</v>
      </c>
      <c r="BC8" s="174">
        <v>0.99999999999999989</v>
      </c>
      <c r="BD8" s="174">
        <v>0.99999999999999989</v>
      </c>
      <c r="BE8" s="174">
        <v>0.99999999999999989</v>
      </c>
      <c r="BF8" s="175">
        <v>0.99999999999999989</v>
      </c>
      <c r="BG8" s="130">
        <v>0.99999999999999989</v>
      </c>
      <c r="BH8" s="130">
        <v>0.99999999999999989</v>
      </c>
      <c r="BI8" s="130">
        <v>0.99999999999999989</v>
      </c>
      <c r="BJ8" s="130">
        <v>0.99999999999999989</v>
      </c>
      <c r="BK8" s="130">
        <v>0.99999999999999989</v>
      </c>
    </row>
    <row r="9" spans="1:63" x14ac:dyDescent="0.35">
      <c r="A9" s="131" t="s">
        <v>13</v>
      </c>
      <c r="B9" s="132">
        <f>'Initial demand info'!F10</f>
        <v>73144.942790000001</v>
      </c>
      <c r="C9" s="128">
        <f t="shared" ref="C9:F13" si="6">B9+($G9-$B9)/5</f>
        <v>74080.566047702334</v>
      </c>
      <c r="D9" s="128">
        <f t="shared" si="6"/>
        <v>75016.189305404667</v>
      </c>
      <c r="E9" s="128">
        <f t="shared" si="6"/>
        <v>75951.812563107</v>
      </c>
      <c r="F9" s="128">
        <f t="shared" si="6"/>
        <v>76887.435820809333</v>
      </c>
      <c r="G9" s="133">
        <f>G$8*AL9</f>
        <v>77823.059078511666</v>
      </c>
      <c r="H9" s="133">
        <f t="shared" ref="H9:W13" si="7">H$8*AM9</f>
        <v>81252.56573625993</v>
      </c>
      <c r="I9" s="133">
        <f t="shared" si="7"/>
        <v>84775.686049509677</v>
      </c>
      <c r="J9" s="133">
        <f t="shared" si="7"/>
        <v>88399.436214765432</v>
      </c>
      <c r="K9" s="133">
        <f t="shared" si="7"/>
        <v>92131.55153094721</v>
      </c>
      <c r="L9" s="133">
        <f t="shared" si="7"/>
        <v>95980.580949647876</v>
      </c>
      <c r="M9" s="133">
        <f t="shared" si="7"/>
        <v>95313.843769519401</v>
      </c>
      <c r="N9" s="133">
        <f t="shared" si="7"/>
        <v>94647.106589390925</v>
      </c>
      <c r="O9" s="133">
        <f t="shared" si="7"/>
        <v>93980.36940926245</v>
      </c>
      <c r="P9" s="133">
        <f t="shared" si="7"/>
        <v>93313.632229133975</v>
      </c>
      <c r="Q9" s="133">
        <f t="shared" si="7"/>
        <v>92646.895049005485</v>
      </c>
      <c r="R9" s="133">
        <f t="shared" si="7"/>
        <v>91913.165074811084</v>
      </c>
      <c r="S9" s="133">
        <f t="shared" si="7"/>
        <v>91179.435100616683</v>
      </c>
      <c r="T9" s="133">
        <f t="shared" si="7"/>
        <v>90445.705126422268</v>
      </c>
      <c r="U9" s="133">
        <f t="shared" si="7"/>
        <v>89711.975152227868</v>
      </c>
      <c r="V9" s="133">
        <f t="shared" si="7"/>
        <v>88978.245178033452</v>
      </c>
      <c r="W9" s="133">
        <f t="shared" si="7"/>
        <v>88207.929716140716</v>
      </c>
      <c r="X9" s="133">
        <f t="shared" ref="X9:AF13" si="8">X$8*BC9</f>
        <v>87437.614254247979</v>
      </c>
      <c r="Y9" s="133">
        <f t="shared" si="8"/>
        <v>86667.298792355243</v>
      </c>
      <c r="Z9" s="133">
        <f t="shared" si="8"/>
        <v>85896.983330462492</v>
      </c>
      <c r="AA9" s="133">
        <f t="shared" si="8"/>
        <v>85126.667868569741</v>
      </c>
      <c r="AB9" s="133">
        <f t="shared" si="8"/>
        <v>84344.645904184523</v>
      </c>
      <c r="AC9" s="133">
        <f t="shared" si="8"/>
        <v>83562.623939799319</v>
      </c>
      <c r="AD9" s="133">
        <f t="shared" si="8"/>
        <v>82780.601975414102</v>
      </c>
      <c r="AE9" s="133">
        <f t="shared" si="8"/>
        <v>81998.580011028898</v>
      </c>
      <c r="AF9" s="133">
        <f t="shared" si="8"/>
        <v>81216.55804664368</v>
      </c>
      <c r="AG9" s="161">
        <f>B9/B$8</f>
        <v>0.20515836529310044</v>
      </c>
      <c r="AH9" s="161">
        <f t="shared" ref="AH9:AK13" si="9">C9/C$8</f>
        <v>0.20921429685447968</v>
      </c>
      <c r="AI9" s="161">
        <f t="shared" si="9"/>
        <v>0.21332650908515188</v>
      </c>
      <c r="AJ9" s="161">
        <f t="shared" si="9"/>
        <v>0.21749618160698342</v>
      </c>
      <c r="AK9" s="161">
        <f t="shared" si="9"/>
        <v>0.22172452723969205</v>
      </c>
      <c r="AL9" s="176">
        <v>0.22601279317697223</v>
      </c>
      <c r="AM9" s="176">
        <v>0.23917630793858691</v>
      </c>
      <c r="AN9" s="176">
        <v>0.25298151460942159</v>
      </c>
      <c r="AO9" s="176">
        <v>0.26747650699060288</v>
      </c>
      <c r="AP9" s="176">
        <v>0.28271430810217846</v>
      </c>
      <c r="AQ9" s="176">
        <v>0.29875351829513463</v>
      </c>
      <c r="AR9" s="176">
        <v>0.29875351829513463</v>
      </c>
      <c r="AS9" s="176">
        <v>0.29875351829513463</v>
      </c>
      <c r="AT9" s="176">
        <v>0.29875351829513463</v>
      </c>
      <c r="AU9" s="176">
        <v>0.29875351829513463</v>
      </c>
      <c r="AV9" s="176">
        <v>0.29875351829513463</v>
      </c>
      <c r="AW9" s="176">
        <v>0.29875351829513463</v>
      </c>
      <c r="AX9" s="176">
        <v>0.29875351829513463</v>
      </c>
      <c r="AY9" s="176">
        <v>0.29875351829513463</v>
      </c>
      <c r="AZ9" s="176">
        <v>0.29875351829513463</v>
      </c>
      <c r="BA9" s="176">
        <v>0.29875351829513463</v>
      </c>
      <c r="BB9" s="176">
        <v>0.29875351829513463</v>
      </c>
      <c r="BC9" s="176">
        <v>0.29875351829513463</v>
      </c>
      <c r="BD9" s="176">
        <v>0.29875351829513463</v>
      </c>
      <c r="BE9" s="176">
        <v>0.29875351829513463</v>
      </c>
      <c r="BF9" s="177">
        <v>0.29875351829513463</v>
      </c>
      <c r="BG9" s="135">
        <v>0.29875351829513463</v>
      </c>
      <c r="BH9" s="135">
        <v>0.29875351829513463</v>
      </c>
      <c r="BI9" s="135">
        <v>0.29875351829513463</v>
      </c>
      <c r="BJ9" s="135">
        <v>0.29875351829513463</v>
      </c>
      <c r="BK9" s="135">
        <v>0.29875351829513463</v>
      </c>
    </row>
    <row r="10" spans="1:63" x14ac:dyDescent="0.35">
      <c r="A10" s="136" t="s">
        <v>12</v>
      </c>
      <c r="B10" s="127">
        <f>'Initial demand info'!F11</f>
        <v>10113.692230000001</v>
      </c>
      <c r="C10" s="128">
        <f t="shared" si="6"/>
        <v>10880.837033984382</v>
      </c>
      <c r="D10" s="128">
        <f t="shared" si="6"/>
        <v>11647.981837968764</v>
      </c>
      <c r="E10" s="128">
        <f t="shared" si="6"/>
        <v>12415.126641953146</v>
      </c>
      <c r="F10" s="128">
        <f t="shared" si="6"/>
        <v>13182.271445937527</v>
      </c>
      <c r="G10" s="133">
        <f t="shared" ref="G10:G13" si="10">G$8*AL10</f>
        <v>13949.416249921911</v>
      </c>
      <c r="H10" s="133">
        <f t="shared" si="7"/>
        <v>14287.795252679731</v>
      </c>
      <c r="I10" s="133">
        <f t="shared" si="7"/>
        <v>14637.169129349653</v>
      </c>
      <c r="J10" s="133">
        <f t="shared" si="7"/>
        <v>14998.361928469216</v>
      </c>
      <c r="K10" s="133">
        <f t="shared" si="7"/>
        <v>15372.282156771145</v>
      </c>
      <c r="L10" s="133">
        <f t="shared" si="7"/>
        <v>15759.933884060652</v>
      </c>
      <c r="M10" s="133">
        <f t="shared" si="7"/>
        <v>15650.456177498507</v>
      </c>
      <c r="N10" s="133">
        <f t="shared" si="7"/>
        <v>15540.978470936361</v>
      </c>
      <c r="O10" s="133">
        <f t="shared" si="7"/>
        <v>15431.500764374216</v>
      </c>
      <c r="P10" s="133">
        <f t="shared" si="7"/>
        <v>15322.023057812068</v>
      </c>
      <c r="Q10" s="133">
        <f t="shared" si="7"/>
        <v>15212.545351249923</v>
      </c>
      <c r="R10" s="133">
        <f t="shared" si="7"/>
        <v>15092.067482001312</v>
      </c>
      <c r="S10" s="133">
        <f t="shared" si="7"/>
        <v>14971.589612752701</v>
      </c>
      <c r="T10" s="133">
        <f t="shared" si="7"/>
        <v>14851.111743504091</v>
      </c>
      <c r="U10" s="133">
        <f t="shared" si="7"/>
        <v>14730.63387425548</v>
      </c>
      <c r="V10" s="133">
        <f t="shared" si="7"/>
        <v>14610.156005006869</v>
      </c>
      <c r="W10" s="133">
        <f t="shared" si="7"/>
        <v>14483.670828222326</v>
      </c>
      <c r="X10" s="133">
        <f t="shared" si="8"/>
        <v>14357.185651437785</v>
      </c>
      <c r="Y10" s="133">
        <f t="shared" si="8"/>
        <v>14230.700474653244</v>
      </c>
      <c r="Z10" s="133">
        <f t="shared" si="8"/>
        <v>14104.215297868703</v>
      </c>
      <c r="AA10" s="133">
        <f t="shared" si="8"/>
        <v>13977.730121084158</v>
      </c>
      <c r="AB10" s="133">
        <f t="shared" si="8"/>
        <v>13849.322746043787</v>
      </c>
      <c r="AC10" s="133">
        <f t="shared" si="8"/>
        <v>13720.915371003415</v>
      </c>
      <c r="AD10" s="133">
        <f t="shared" si="8"/>
        <v>13592.507995963044</v>
      </c>
      <c r="AE10" s="133">
        <f t="shared" si="8"/>
        <v>13464.100620922673</v>
      </c>
      <c r="AF10" s="133">
        <f t="shared" si="8"/>
        <v>13335.693245882301</v>
      </c>
      <c r="AG10" s="161">
        <f t="shared" ref="AG10:AG13" si="11">B10/B$8</f>
        <v>2.8367081657872353E-2</v>
      </c>
      <c r="AH10" s="161">
        <f t="shared" si="9"/>
        <v>3.0729066888978366E-2</v>
      </c>
      <c r="AI10" s="161">
        <f t="shared" si="9"/>
        <v>3.3123827354985418E-2</v>
      </c>
      <c r="AJ10" s="161">
        <f t="shared" si="9"/>
        <v>3.5552050012609721E-2</v>
      </c>
      <c r="AK10" s="161">
        <f t="shared" si="9"/>
        <v>3.8014441151446685E-2</v>
      </c>
      <c r="AL10" s="174">
        <v>4.0511727078891273E-2</v>
      </c>
      <c r="AM10" s="174">
        <v>4.2057774867205154E-2</v>
      </c>
      <c r="AN10" s="174">
        <v>4.3679189028026283E-2</v>
      </c>
      <c r="AO10" s="174">
        <v>4.5381618152647324E-2</v>
      </c>
      <c r="AP10" s="174">
        <v>4.7171289766494359E-2</v>
      </c>
      <c r="AQ10" s="174">
        <v>4.9055086449537683E-2</v>
      </c>
      <c r="AR10" s="174">
        <v>4.9055086449537683E-2</v>
      </c>
      <c r="AS10" s="174">
        <v>4.9055086449537683E-2</v>
      </c>
      <c r="AT10" s="174">
        <v>4.9055086449537683E-2</v>
      </c>
      <c r="AU10" s="174">
        <v>4.9055086449537683E-2</v>
      </c>
      <c r="AV10" s="174">
        <v>4.9055086449537683E-2</v>
      </c>
      <c r="AW10" s="174">
        <v>4.9055086449537683E-2</v>
      </c>
      <c r="AX10" s="174">
        <v>4.9055086449537683E-2</v>
      </c>
      <c r="AY10" s="174">
        <v>4.9055086449537683E-2</v>
      </c>
      <c r="AZ10" s="174">
        <v>4.9055086449537683E-2</v>
      </c>
      <c r="BA10" s="174">
        <v>4.9055086449537683E-2</v>
      </c>
      <c r="BB10" s="174">
        <v>4.9055086449537683E-2</v>
      </c>
      <c r="BC10" s="174">
        <v>4.9055086449537683E-2</v>
      </c>
      <c r="BD10" s="174">
        <v>4.9055086449537683E-2</v>
      </c>
      <c r="BE10" s="174">
        <v>4.9055086449537683E-2</v>
      </c>
      <c r="BF10" s="175">
        <v>4.9055086449537683E-2</v>
      </c>
      <c r="BG10" s="130">
        <v>4.9055086449537683E-2</v>
      </c>
      <c r="BH10" s="130">
        <v>4.9055086449537683E-2</v>
      </c>
      <c r="BI10" s="130">
        <v>4.9055086449537683E-2</v>
      </c>
      <c r="BJ10" s="130">
        <v>4.9055086449537683E-2</v>
      </c>
      <c r="BK10" s="130">
        <v>4.9055086449537683E-2</v>
      </c>
    </row>
    <row r="11" spans="1:63" x14ac:dyDescent="0.35">
      <c r="A11" s="131" t="s">
        <v>11</v>
      </c>
      <c r="B11" s="132">
        <f>'Initial demand info'!F12</f>
        <v>66211.648509999999</v>
      </c>
      <c r="C11" s="128">
        <f t="shared" si="6"/>
        <v>67432.66091976114</v>
      </c>
      <c r="D11" s="128">
        <f t="shared" si="6"/>
        <v>68653.67332952228</v>
      </c>
      <c r="E11" s="128">
        <f t="shared" si="6"/>
        <v>69874.685739283421</v>
      </c>
      <c r="F11" s="128">
        <f t="shared" si="6"/>
        <v>71095.698149044561</v>
      </c>
      <c r="G11" s="133">
        <f t="shared" si="10"/>
        <v>72316.710558805673</v>
      </c>
      <c r="H11" s="133">
        <f t="shared" si="7"/>
        <v>72328.873545572424</v>
      </c>
      <c r="I11" s="133">
        <f t="shared" si="7"/>
        <v>72361.568204310403</v>
      </c>
      <c r="J11" s="133">
        <f t="shared" si="7"/>
        <v>72416.333351598718</v>
      </c>
      <c r="K11" s="133">
        <f t="shared" si="7"/>
        <v>72494.865520055144</v>
      </c>
      <c r="L11" s="133">
        <f t="shared" si="7"/>
        <v>72599.039695426793</v>
      </c>
      <c r="M11" s="133">
        <f t="shared" si="7"/>
        <v>72094.724358640524</v>
      </c>
      <c r="N11" s="133">
        <f t="shared" si="7"/>
        <v>71590.409021854241</v>
      </c>
      <c r="O11" s="133">
        <f t="shared" si="7"/>
        <v>71086.093685067957</v>
      </c>
      <c r="P11" s="133">
        <f t="shared" si="7"/>
        <v>70581.778348281689</v>
      </c>
      <c r="Q11" s="133">
        <f t="shared" si="7"/>
        <v>70077.463011495405</v>
      </c>
      <c r="R11" s="133">
        <f t="shared" si="7"/>
        <v>69522.474794137044</v>
      </c>
      <c r="S11" s="133">
        <f t="shared" si="7"/>
        <v>68967.486576778698</v>
      </c>
      <c r="T11" s="133">
        <f t="shared" si="7"/>
        <v>68412.498359420351</v>
      </c>
      <c r="U11" s="133">
        <f t="shared" si="7"/>
        <v>67857.51014206199</v>
      </c>
      <c r="V11" s="133">
        <f t="shared" si="7"/>
        <v>67302.521924703644</v>
      </c>
      <c r="W11" s="133">
        <f t="shared" si="7"/>
        <v>66719.860700499441</v>
      </c>
      <c r="X11" s="133">
        <f t="shared" si="8"/>
        <v>66137.199476295238</v>
      </c>
      <c r="Y11" s="133">
        <f t="shared" si="8"/>
        <v>65554.538252091035</v>
      </c>
      <c r="Z11" s="133">
        <f t="shared" si="8"/>
        <v>64971.87702788684</v>
      </c>
      <c r="AA11" s="133">
        <f t="shared" si="8"/>
        <v>64389.215803682629</v>
      </c>
      <c r="AB11" s="133">
        <f t="shared" si="8"/>
        <v>63797.699862922884</v>
      </c>
      <c r="AC11" s="133">
        <f t="shared" si="8"/>
        <v>63206.183922163145</v>
      </c>
      <c r="AD11" s="133">
        <f t="shared" si="8"/>
        <v>62614.6679814034</v>
      </c>
      <c r="AE11" s="133">
        <f t="shared" si="8"/>
        <v>62023.152040643661</v>
      </c>
      <c r="AF11" s="133">
        <f t="shared" si="8"/>
        <v>61431.636099883915</v>
      </c>
      <c r="AG11" s="161">
        <f t="shared" si="11"/>
        <v>0.18571172597225771</v>
      </c>
      <c r="AH11" s="161">
        <f>C11/C$8</f>
        <v>0.19043964553766993</v>
      </c>
      <c r="AI11" s="161">
        <f t="shared" si="9"/>
        <v>0.19523317037118831</v>
      </c>
      <c r="AJ11" s="161">
        <f t="shared" si="9"/>
        <v>0.2000936755347974</v>
      </c>
      <c r="AK11" s="161">
        <f t="shared" si="9"/>
        <v>0.20502257478856345</v>
      </c>
      <c r="AL11" s="176">
        <v>0.21002132196162046</v>
      </c>
      <c r="AM11" s="176">
        <v>0.21290838972567852</v>
      </c>
      <c r="AN11" s="176">
        <v>0.21593619558735835</v>
      </c>
      <c r="AO11" s="176">
        <v>0.21911528764611501</v>
      </c>
      <c r="AP11" s="176">
        <v>0.22245729509481268</v>
      </c>
      <c r="AQ11" s="176">
        <v>0.22597507036590264</v>
      </c>
      <c r="AR11" s="176">
        <v>0.22597507036590264</v>
      </c>
      <c r="AS11" s="176">
        <v>0.22597507036590264</v>
      </c>
      <c r="AT11" s="176">
        <v>0.22597507036590264</v>
      </c>
      <c r="AU11" s="176">
        <v>0.22597507036590264</v>
      </c>
      <c r="AV11" s="176">
        <v>0.22597507036590264</v>
      </c>
      <c r="AW11" s="176">
        <v>0.22597507036590264</v>
      </c>
      <c r="AX11" s="176">
        <v>0.22597507036590264</v>
      </c>
      <c r="AY11" s="176">
        <v>0.22597507036590264</v>
      </c>
      <c r="AZ11" s="176">
        <v>0.22597507036590264</v>
      </c>
      <c r="BA11" s="176">
        <v>0.22597507036590264</v>
      </c>
      <c r="BB11" s="176">
        <v>0.22597507036590264</v>
      </c>
      <c r="BC11" s="176">
        <v>0.22597507036590264</v>
      </c>
      <c r="BD11" s="176">
        <v>0.22597507036590264</v>
      </c>
      <c r="BE11" s="176">
        <v>0.22597507036590264</v>
      </c>
      <c r="BF11" s="177">
        <v>0.22597507036590264</v>
      </c>
      <c r="BG11" s="135">
        <v>0.22597507036590264</v>
      </c>
      <c r="BH11" s="135">
        <v>0.22597507036590264</v>
      </c>
      <c r="BI11" s="135">
        <v>0.22597507036590264</v>
      </c>
      <c r="BJ11" s="135">
        <v>0.22597507036590264</v>
      </c>
      <c r="BK11" s="135">
        <v>0.22597507036590264</v>
      </c>
    </row>
    <row r="12" spans="1:63" x14ac:dyDescent="0.35">
      <c r="A12" s="136" t="s">
        <v>9</v>
      </c>
      <c r="B12" s="127">
        <f>'Initial demand info'!F13</f>
        <v>185296.10311</v>
      </c>
      <c r="C12" s="128">
        <f t="shared" si="6"/>
        <v>181715.48148781256</v>
      </c>
      <c r="D12" s="128">
        <f t="shared" si="6"/>
        <v>178134.85986562513</v>
      </c>
      <c r="E12" s="128">
        <f t="shared" si="6"/>
        <v>174554.23824343769</v>
      </c>
      <c r="F12" s="128">
        <f t="shared" si="6"/>
        <v>170973.61662125026</v>
      </c>
      <c r="G12" s="133">
        <f t="shared" si="10"/>
        <v>167392.99499906288</v>
      </c>
      <c r="H12" s="133">
        <f t="shared" si="7"/>
        <v>160774.77564607078</v>
      </c>
      <c r="I12" s="133">
        <f t="shared" si="7"/>
        <v>154064.94742291569</v>
      </c>
      <c r="J12" s="133">
        <f t="shared" si="7"/>
        <v>147256.64438860668</v>
      </c>
      <c r="K12" s="133">
        <f t="shared" si="7"/>
        <v>140342.29689969122</v>
      </c>
      <c r="L12" s="133">
        <f t="shared" si="7"/>
        <v>133313.53908484068</v>
      </c>
      <c r="M12" s="133">
        <f t="shared" si="7"/>
        <v>132387.46537031498</v>
      </c>
      <c r="N12" s="133">
        <f t="shared" si="7"/>
        <v>131461.39165578931</v>
      </c>
      <c r="O12" s="133">
        <f t="shared" si="7"/>
        <v>130535.31794126361</v>
      </c>
      <c r="P12" s="133">
        <f t="shared" si="7"/>
        <v>129609.24422673791</v>
      </c>
      <c r="Q12" s="133">
        <f t="shared" si="7"/>
        <v>128683.17051221222</v>
      </c>
      <c r="R12" s="133">
        <f t="shared" si="7"/>
        <v>127664.04624119119</v>
      </c>
      <c r="S12" s="133">
        <f t="shared" si="7"/>
        <v>126644.92197017015</v>
      </c>
      <c r="T12" s="133">
        <f t="shared" si="7"/>
        <v>125625.79769914912</v>
      </c>
      <c r="U12" s="133">
        <f t="shared" si="7"/>
        <v>124606.67342812808</v>
      </c>
      <c r="V12" s="133">
        <f t="shared" si="7"/>
        <v>123587.54915710705</v>
      </c>
      <c r="W12" s="133">
        <f t="shared" si="7"/>
        <v>122517.60897315912</v>
      </c>
      <c r="X12" s="133">
        <f t="shared" si="8"/>
        <v>121447.66878921121</v>
      </c>
      <c r="Y12" s="133">
        <f t="shared" si="8"/>
        <v>120377.72860526328</v>
      </c>
      <c r="Z12" s="133">
        <f t="shared" si="8"/>
        <v>119307.78842131536</v>
      </c>
      <c r="AA12" s="133">
        <f t="shared" si="8"/>
        <v>118237.84823736741</v>
      </c>
      <c r="AB12" s="133">
        <f t="shared" si="8"/>
        <v>117151.64814686197</v>
      </c>
      <c r="AC12" s="133">
        <f t="shared" si="8"/>
        <v>116065.44805635653</v>
      </c>
      <c r="AD12" s="133">
        <f t="shared" si="8"/>
        <v>114979.2479658511</v>
      </c>
      <c r="AE12" s="133">
        <f t="shared" si="8"/>
        <v>113893.04787534567</v>
      </c>
      <c r="AF12" s="133">
        <f t="shared" si="8"/>
        <v>112806.84778484023</v>
      </c>
      <c r="AG12" s="161">
        <f t="shared" si="11"/>
        <v>0.51972213196435235</v>
      </c>
      <c r="AH12" s="161">
        <f t="shared" si="9"/>
        <v>0.51319095837585149</v>
      </c>
      <c r="AI12" s="161">
        <f t="shared" si="9"/>
        <v>0.5065691573161355</v>
      </c>
      <c r="AJ12" s="161">
        <f t="shared" si="9"/>
        <v>0.49985482926716246</v>
      </c>
      <c r="AK12" s="161">
        <f t="shared" si="9"/>
        <v>0.49304602125315133</v>
      </c>
      <c r="AL12" s="174">
        <v>0.48614072494669508</v>
      </c>
      <c r="AM12" s="174">
        <v>0.47325911373062651</v>
      </c>
      <c r="AN12" s="174">
        <v>0.45974955277280871</v>
      </c>
      <c r="AO12" s="174">
        <v>0.44556497822599145</v>
      </c>
      <c r="AP12" s="174">
        <v>0.43065350258580182</v>
      </c>
      <c r="AQ12" s="174">
        <v>0.41495778045838355</v>
      </c>
      <c r="AR12" s="174">
        <v>0.41495778045838355</v>
      </c>
      <c r="AS12" s="174">
        <v>0.41495778045838355</v>
      </c>
      <c r="AT12" s="174">
        <v>0.41495778045838355</v>
      </c>
      <c r="AU12" s="174">
        <v>0.41495778045838355</v>
      </c>
      <c r="AV12" s="174">
        <v>0.41495778045838355</v>
      </c>
      <c r="AW12" s="174">
        <v>0.41495778045838355</v>
      </c>
      <c r="AX12" s="174">
        <v>0.41495778045838355</v>
      </c>
      <c r="AY12" s="174">
        <v>0.41495778045838355</v>
      </c>
      <c r="AZ12" s="174">
        <v>0.41495778045838355</v>
      </c>
      <c r="BA12" s="174">
        <v>0.41495778045838355</v>
      </c>
      <c r="BB12" s="174">
        <v>0.41495778045838355</v>
      </c>
      <c r="BC12" s="174">
        <v>0.41495778045838355</v>
      </c>
      <c r="BD12" s="174">
        <v>0.41495778045838355</v>
      </c>
      <c r="BE12" s="174">
        <v>0.41495778045838355</v>
      </c>
      <c r="BF12" s="175">
        <v>0.41495778045838355</v>
      </c>
      <c r="BG12" s="130">
        <v>0.41495778045838355</v>
      </c>
      <c r="BH12" s="130">
        <v>0.41495778045838355</v>
      </c>
      <c r="BI12" s="130">
        <v>0.41495778045838355</v>
      </c>
      <c r="BJ12" s="130">
        <v>0.41495778045838355</v>
      </c>
      <c r="BK12" s="130">
        <v>0.41495778045838355</v>
      </c>
    </row>
    <row r="13" spans="1:63" x14ac:dyDescent="0.35">
      <c r="A13" s="131" t="s">
        <v>10</v>
      </c>
      <c r="B13" s="132">
        <f>'Initial demand info'!F14</f>
        <v>21762.788690000001</v>
      </c>
      <c r="C13" s="128">
        <f t="shared" si="6"/>
        <v>19979.86026119614</v>
      </c>
      <c r="D13" s="128">
        <f t="shared" si="6"/>
        <v>18196.931832392278</v>
      </c>
      <c r="E13" s="128">
        <f t="shared" si="6"/>
        <v>16414.003403588416</v>
      </c>
      <c r="F13" s="128">
        <f t="shared" si="6"/>
        <v>14631.074974784557</v>
      </c>
      <c r="G13" s="133">
        <f t="shared" si="10"/>
        <v>12848.146545980702</v>
      </c>
      <c r="H13" s="133">
        <f t="shared" si="7"/>
        <v>11074.277289274247</v>
      </c>
      <c r="I13" s="133">
        <f t="shared" si="7"/>
        <v>9266.876701345931</v>
      </c>
      <c r="J13" s="133">
        <f t="shared" si="7"/>
        <v>7423.4316615655607</v>
      </c>
      <c r="K13" s="133">
        <f t="shared" si="7"/>
        <v>5541.1714751151703</v>
      </c>
      <c r="L13" s="133">
        <f t="shared" si="7"/>
        <v>3617.0340061778484</v>
      </c>
      <c r="M13" s="133">
        <f t="shared" si="7"/>
        <v>3591.907975163585</v>
      </c>
      <c r="N13" s="133">
        <f t="shared" si="7"/>
        <v>3566.781944149322</v>
      </c>
      <c r="O13" s="133">
        <f t="shared" si="7"/>
        <v>3541.6559131350591</v>
      </c>
      <c r="P13" s="133">
        <f t="shared" si="7"/>
        <v>3516.5298821207962</v>
      </c>
      <c r="Q13" s="133">
        <f t="shared" si="7"/>
        <v>3491.4038511065332</v>
      </c>
      <c r="R13" s="133">
        <f t="shared" si="7"/>
        <v>3463.7531925904586</v>
      </c>
      <c r="S13" s="133">
        <f t="shared" si="7"/>
        <v>3436.102534074384</v>
      </c>
      <c r="T13" s="133">
        <f t="shared" si="7"/>
        <v>3408.4518755583094</v>
      </c>
      <c r="U13" s="133">
        <f t="shared" si="7"/>
        <v>3380.8012170422353</v>
      </c>
      <c r="V13" s="133">
        <f t="shared" si="7"/>
        <v>3353.1505585261607</v>
      </c>
      <c r="W13" s="133">
        <f t="shared" si="7"/>
        <v>3324.1211736903642</v>
      </c>
      <c r="X13" s="133">
        <f t="shared" si="8"/>
        <v>3295.0917888545678</v>
      </c>
      <c r="Y13" s="133">
        <f t="shared" si="8"/>
        <v>3266.0624040187713</v>
      </c>
      <c r="Z13" s="133">
        <f t="shared" si="8"/>
        <v>3237.0330191829748</v>
      </c>
      <c r="AA13" s="133">
        <f t="shared" si="8"/>
        <v>3208.0036343471779</v>
      </c>
      <c r="AB13" s="133">
        <f t="shared" si="8"/>
        <v>3178.533089255945</v>
      </c>
      <c r="AC13" s="133">
        <f t="shared" si="8"/>
        <v>3149.0625441647126</v>
      </c>
      <c r="AD13" s="133">
        <f t="shared" si="8"/>
        <v>3119.5919990734797</v>
      </c>
      <c r="AE13" s="133">
        <f t="shared" si="8"/>
        <v>3090.1214539822467</v>
      </c>
      <c r="AF13" s="133">
        <f t="shared" si="8"/>
        <v>3060.6509088910143</v>
      </c>
      <c r="AG13" s="161">
        <f t="shared" si="11"/>
        <v>6.1040695112417012E-2</v>
      </c>
      <c r="AH13" s="161">
        <f t="shared" si="9"/>
        <v>5.6426032343020405E-2</v>
      </c>
      <c r="AI13" s="161">
        <f t="shared" si="9"/>
        <v>5.1747335872538699E-2</v>
      </c>
      <c r="AJ13" s="161">
        <f t="shared" si="9"/>
        <v>4.7003263578446863E-2</v>
      </c>
      <c r="AK13" s="161">
        <f t="shared" si="9"/>
        <v>4.2192435567146309E-2</v>
      </c>
      <c r="AL13" s="176">
        <v>3.7313432835820892E-2</v>
      </c>
      <c r="AM13" s="176">
        <v>3.2598413737902933E-2</v>
      </c>
      <c r="AN13" s="176">
        <v>2.765354800238521E-2</v>
      </c>
      <c r="AO13" s="176">
        <v>2.2461608984643593E-2</v>
      </c>
      <c r="AP13" s="176">
        <v>1.7003604450713052E-2</v>
      </c>
      <c r="AQ13" s="176">
        <v>1.1258544431041415E-2</v>
      </c>
      <c r="AR13" s="176">
        <v>1.1258544431041415E-2</v>
      </c>
      <c r="AS13" s="176">
        <v>1.1258544431041415E-2</v>
      </c>
      <c r="AT13" s="176">
        <v>1.1258544431041415E-2</v>
      </c>
      <c r="AU13" s="176">
        <v>1.1258544431041415E-2</v>
      </c>
      <c r="AV13" s="176">
        <v>1.1258544431041415E-2</v>
      </c>
      <c r="AW13" s="176">
        <v>1.1258544431041415E-2</v>
      </c>
      <c r="AX13" s="176">
        <v>1.1258544431041415E-2</v>
      </c>
      <c r="AY13" s="176">
        <v>1.1258544431041415E-2</v>
      </c>
      <c r="AZ13" s="176">
        <v>1.1258544431041415E-2</v>
      </c>
      <c r="BA13" s="176">
        <v>1.1258544431041415E-2</v>
      </c>
      <c r="BB13" s="176">
        <v>1.1258544431041415E-2</v>
      </c>
      <c r="BC13" s="176">
        <v>1.1258544431041415E-2</v>
      </c>
      <c r="BD13" s="176">
        <v>1.1258544431041415E-2</v>
      </c>
      <c r="BE13" s="176">
        <v>1.1258544431041415E-2</v>
      </c>
      <c r="BF13" s="177">
        <v>1.1258544431041415E-2</v>
      </c>
      <c r="BG13" s="135">
        <v>1.1258544431041415E-2</v>
      </c>
      <c r="BH13" s="135">
        <v>1.1258544431041415E-2</v>
      </c>
      <c r="BI13" s="135">
        <v>1.1258544431041415E-2</v>
      </c>
      <c r="BJ13" s="135">
        <v>1.1258544431041415E-2</v>
      </c>
      <c r="BK13" s="135">
        <v>1.1258544431041415E-2</v>
      </c>
    </row>
    <row r="14" spans="1:63" x14ac:dyDescent="0.35">
      <c r="A14" s="136"/>
      <c r="B14" s="127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5"/>
      <c r="BG14" s="130"/>
      <c r="BH14" s="130"/>
      <c r="BI14" s="130"/>
      <c r="BJ14" s="130"/>
      <c r="BK14" s="130"/>
    </row>
    <row r="15" spans="1:63" x14ac:dyDescent="0.35">
      <c r="A15" s="137" t="s">
        <v>5</v>
      </c>
      <c r="B15" s="132">
        <f>'Initial demand info'!F16</f>
        <v>272762.75125000003</v>
      </c>
      <c r="C15" s="128">
        <f>B15+($G15-$B15)/5</f>
        <v>276354.15161996341</v>
      </c>
      <c r="D15" s="128">
        <f t="shared" ref="D15:F15" si="12">C15+($G15-$B15)/5</f>
        <v>279945.55198992678</v>
      </c>
      <c r="E15" s="128">
        <f t="shared" si="12"/>
        <v>283536.95235989016</v>
      </c>
      <c r="F15" s="128">
        <f t="shared" si="12"/>
        <v>287128.35272985353</v>
      </c>
      <c r="G15" s="127">
        <f>'Initial demand info'!K34</f>
        <v>290719.75309981685</v>
      </c>
      <c r="H15" s="128">
        <f>G15+($L15-$G15)/5</f>
        <v>288562.06589943968</v>
      </c>
      <c r="I15" s="128">
        <f t="shared" ref="I15:K15" si="13">H15+($L15-$G15)/5</f>
        <v>286404.37869906251</v>
      </c>
      <c r="J15" s="128">
        <f t="shared" si="13"/>
        <v>284246.69149868534</v>
      </c>
      <c r="K15" s="128">
        <f t="shared" si="13"/>
        <v>282089.00429830817</v>
      </c>
      <c r="L15" s="127">
        <f>'Initial demand info'!L34</f>
        <v>279931.31709793111</v>
      </c>
      <c r="M15" s="128">
        <f>L15+($Q15-$L15)/5</f>
        <v>276555.98091582919</v>
      </c>
      <c r="N15" s="128">
        <f t="shared" ref="N15:P15" si="14">M15+($Q15-$L15)/5</f>
        <v>273180.64473372727</v>
      </c>
      <c r="O15" s="128">
        <f t="shared" si="14"/>
        <v>269805.30855162535</v>
      </c>
      <c r="P15" s="128">
        <f t="shared" si="14"/>
        <v>266429.97236952343</v>
      </c>
      <c r="Q15" s="127">
        <f>'Initial demand info'!M34</f>
        <v>263054.63618742139</v>
      </c>
      <c r="R15" s="128">
        <f>Q15+($V15-$Q15)/5</f>
        <v>260629.65205922737</v>
      </c>
      <c r="S15" s="128">
        <f t="shared" ref="S15:U15" si="15">R15+($V15-$Q15)/5</f>
        <v>258204.66793103336</v>
      </c>
      <c r="T15" s="128">
        <f t="shared" si="15"/>
        <v>255779.68380283934</v>
      </c>
      <c r="U15" s="128">
        <f t="shared" si="15"/>
        <v>253354.69967464532</v>
      </c>
      <c r="V15" s="127">
        <f>'Initial demand info'!N34</f>
        <v>250929.71554645128</v>
      </c>
      <c r="W15" s="128">
        <f>V15+($AA15-$V15)/5</f>
        <v>249227.8935366779</v>
      </c>
      <c r="X15" s="128">
        <f t="shared" ref="X15:Z15" si="16">W15+($AA15-$V15)/5</f>
        <v>247526.07152690453</v>
      </c>
      <c r="Y15" s="128">
        <f t="shared" si="16"/>
        <v>245824.24951713116</v>
      </c>
      <c r="Z15" s="128">
        <f t="shared" si="16"/>
        <v>244122.42750735779</v>
      </c>
      <c r="AA15" s="127">
        <f>'Initial demand info'!O34</f>
        <v>242420.60549758436</v>
      </c>
      <c r="AB15" s="128">
        <f>AA15+($AF15-$AA15)/5</f>
        <v>244596.7463551907</v>
      </c>
      <c r="AC15" s="128">
        <f t="shared" ref="AC15:AE15" si="17">AB15+($AF15-$AA15)/5</f>
        <v>246772.88721279704</v>
      </c>
      <c r="AD15" s="128">
        <f t="shared" si="17"/>
        <v>248949.02807040338</v>
      </c>
      <c r="AE15" s="128">
        <f t="shared" si="17"/>
        <v>251125.16892800972</v>
      </c>
      <c r="AF15" s="127">
        <f>'Initial demand info'!P34</f>
        <v>253301.30978561606</v>
      </c>
      <c r="AG15" s="133">
        <v>1</v>
      </c>
      <c r="AH15" s="133">
        <v>1</v>
      </c>
      <c r="AI15" s="133">
        <v>1</v>
      </c>
      <c r="AJ15" s="133">
        <v>1.0000000000000002</v>
      </c>
      <c r="AK15" s="133">
        <v>1.0000000000000002</v>
      </c>
      <c r="AL15" s="176">
        <v>1.0000000000000002</v>
      </c>
      <c r="AM15" s="176">
        <v>1</v>
      </c>
      <c r="AN15" s="176">
        <v>1</v>
      </c>
      <c r="AO15" s="176">
        <v>1</v>
      </c>
      <c r="AP15" s="176">
        <v>1</v>
      </c>
      <c r="AQ15" s="176">
        <v>0.99999999999999989</v>
      </c>
      <c r="AR15" s="176">
        <v>0.99999999999999989</v>
      </c>
      <c r="AS15" s="176">
        <v>0.99999999999999989</v>
      </c>
      <c r="AT15" s="176">
        <v>0.99999999999999989</v>
      </c>
      <c r="AU15" s="176">
        <v>0.99999999999999989</v>
      </c>
      <c r="AV15" s="176">
        <v>0.99999999999999989</v>
      </c>
      <c r="AW15" s="176">
        <v>0.99999999999999989</v>
      </c>
      <c r="AX15" s="176">
        <v>0.99999999999999989</v>
      </c>
      <c r="AY15" s="176">
        <v>0.99999999999999989</v>
      </c>
      <c r="AZ15" s="176">
        <v>0.99999999999999989</v>
      </c>
      <c r="BA15" s="176">
        <v>0.99999999999999989</v>
      </c>
      <c r="BB15" s="176">
        <v>0.99999999999999989</v>
      </c>
      <c r="BC15" s="176">
        <v>0.99999999999999989</v>
      </c>
      <c r="BD15" s="176">
        <v>0.99999999999999989</v>
      </c>
      <c r="BE15" s="176">
        <v>0.99999999999999989</v>
      </c>
      <c r="BF15" s="177">
        <v>0.99999999999999989</v>
      </c>
      <c r="BG15" s="135">
        <v>0.99999999999999989</v>
      </c>
      <c r="BH15" s="135">
        <v>0.99999999999999989</v>
      </c>
      <c r="BI15" s="135">
        <v>0.99999999999999989</v>
      </c>
      <c r="BJ15" s="135">
        <v>0.99999999999999989</v>
      </c>
      <c r="BK15" s="135">
        <v>0.99999999999999989</v>
      </c>
    </row>
    <row r="16" spans="1:63" x14ac:dyDescent="0.35">
      <c r="A16" s="136" t="s">
        <v>13</v>
      </c>
      <c r="B16" s="127">
        <f>'Initial demand info'!F17</f>
        <v>5060.1781099999998</v>
      </c>
      <c r="C16" s="128">
        <f t="shared" ref="C16:F21" si="18">B16+($G16-$B16)/5</f>
        <v>5790.1070005009233</v>
      </c>
      <c r="D16" s="128">
        <f t="shared" si="18"/>
        <v>6520.0358910018467</v>
      </c>
      <c r="E16" s="128">
        <f t="shared" si="18"/>
        <v>7249.9647815027702</v>
      </c>
      <c r="F16" s="128">
        <f t="shared" si="18"/>
        <v>7979.8936720036936</v>
      </c>
      <c r="G16" s="133">
        <f>G$15*AL16</f>
        <v>8709.8225625046161</v>
      </c>
      <c r="H16" s="133">
        <f t="shared" ref="H16:W21" si="19">H$15*AM16</f>
        <v>9569.2394637892903</v>
      </c>
      <c r="I16" s="133">
        <f t="shared" si="19"/>
        <v>10431.009837259839</v>
      </c>
      <c r="J16" s="133">
        <f t="shared" si="19"/>
        <v>11295.196486521851</v>
      </c>
      <c r="K16" s="133">
        <f t="shared" si="19"/>
        <v>12161.864469831416</v>
      </c>
      <c r="L16" s="133">
        <f t="shared" si="19"/>
        <v>13031.081202188898</v>
      </c>
      <c r="M16" s="133">
        <f t="shared" si="19"/>
        <v>12873.955946145219</v>
      </c>
      <c r="N16" s="133">
        <f t="shared" si="19"/>
        <v>12716.830690101542</v>
      </c>
      <c r="O16" s="133">
        <f t="shared" si="19"/>
        <v>12559.705434057863</v>
      </c>
      <c r="P16" s="133">
        <f t="shared" si="19"/>
        <v>12402.580178014186</v>
      </c>
      <c r="Q16" s="133">
        <f t="shared" si="19"/>
        <v>12245.454921970504</v>
      </c>
      <c r="R16" s="133">
        <f t="shared" si="19"/>
        <v>12132.569499159948</v>
      </c>
      <c r="S16" s="133">
        <f t="shared" si="19"/>
        <v>12019.684076349393</v>
      </c>
      <c r="T16" s="133">
        <f t="shared" si="19"/>
        <v>11906.798653538839</v>
      </c>
      <c r="U16" s="133">
        <f t="shared" si="19"/>
        <v>11793.913230728283</v>
      </c>
      <c r="V16" s="133">
        <f t="shared" si="19"/>
        <v>11681.027807917728</v>
      </c>
      <c r="W16" s="133">
        <f t="shared" si="19"/>
        <v>11601.806300903309</v>
      </c>
      <c r="X16" s="133">
        <f t="shared" ref="X16:AF21" si="20">X$15*BC16</f>
        <v>11522.584793888891</v>
      </c>
      <c r="Y16" s="133">
        <f t="shared" si="20"/>
        <v>11443.363286874472</v>
      </c>
      <c r="Z16" s="133">
        <f t="shared" si="20"/>
        <v>11364.141779860054</v>
      </c>
      <c r="AA16" s="133">
        <f t="shared" si="20"/>
        <v>11284.920272845633</v>
      </c>
      <c r="AB16" s="133">
        <f t="shared" si="20"/>
        <v>11386.221793936067</v>
      </c>
      <c r="AC16" s="133">
        <f t="shared" si="20"/>
        <v>11487.523315026501</v>
      </c>
      <c r="AD16" s="133">
        <f t="shared" si="20"/>
        <v>11588.824836116937</v>
      </c>
      <c r="AE16" s="133">
        <f t="shared" si="20"/>
        <v>11690.126357207371</v>
      </c>
      <c r="AF16" s="133">
        <f t="shared" si="20"/>
        <v>11791.427878297805</v>
      </c>
      <c r="AG16" s="161">
        <f>B16/B$15</f>
        <v>1.8551573067842046E-2</v>
      </c>
      <c r="AH16" s="161">
        <f t="shared" ref="AH16:AK21" si="21">C16/C$15</f>
        <v>2.095176412787661E-2</v>
      </c>
      <c r="AI16" s="161">
        <f t="shared" si="21"/>
        <v>2.3290371447789445E-2</v>
      </c>
      <c r="AJ16" s="161">
        <f t="shared" si="21"/>
        <v>2.5569735165596595E-2</v>
      </c>
      <c r="AK16" s="161">
        <f t="shared" si="21"/>
        <v>2.7792078337563638E-2</v>
      </c>
      <c r="AL16" s="174">
        <v>2.9959514170040426E-2</v>
      </c>
      <c r="AM16" s="174">
        <v>3.316180674671234E-2</v>
      </c>
      <c r="AN16" s="174">
        <v>3.642056690837172E-2</v>
      </c>
      <c r="AO16" s="174">
        <v>3.9737301521323397E-2</v>
      </c>
      <c r="AP16" s="174">
        <v>4.3113571548397844E-2</v>
      </c>
      <c r="AQ16" s="174">
        <v>4.6550994498518745E-2</v>
      </c>
      <c r="AR16" s="174">
        <v>4.6550994498518745E-2</v>
      </c>
      <c r="AS16" s="174">
        <v>4.6550994498518745E-2</v>
      </c>
      <c r="AT16" s="174">
        <v>4.6550994498518745E-2</v>
      </c>
      <c r="AU16" s="174">
        <v>4.6550994498518745E-2</v>
      </c>
      <c r="AV16" s="174">
        <v>4.6550994498518745E-2</v>
      </c>
      <c r="AW16" s="174">
        <v>4.6550994498518745E-2</v>
      </c>
      <c r="AX16" s="174">
        <v>4.6550994498518745E-2</v>
      </c>
      <c r="AY16" s="174">
        <v>4.6550994498518745E-2</v>
      </c>
      <c r="AZ16" s="174">
        <v>4.6550994498518745E-2</v>
      </c>
      <c r="BA16" s="174">
        <v>4.6550994498518745E-2</v>
      </c>
      <c r="BB16" s="174">
        <v>4.6550994498518745E-2</v>
      </c>
      <c r="BC16" s="174">
        <v>4.6550994498518745E-2</v>
      </c>
      <c r="BD16" s="174">
        <v>4.6550994498518745E-2</v>
      </c>
      <c r="BE16" s="174">
        <v>4.6550994498518745E-2</v>
      </c>
      <c r="BF16" s="175">
        <v>4.6550994498518745E-2</v>
      </c>
      <c r="BG16" s="130">
        <v>4.6550994498518745E-2</v>
      </c>
      <c r="BH16" s="130">
        <v>4.6550994498518745E-2</v>
      </c>
      <c r="BI16" s="130">
        <v>4.6550994498518745E-2</v>
      </c>
      <c r="BJ16" s="130">
        <v>4.6550994498518745E-2</v>
      </c>
      <c r="BK16" s="130">
        <v>4.6550994498518745E-2</v>
      </c>
    </row>
    <row r="17" spans="1:97" x14ac:dyDescent="0.35">
      <c r="A17" s="131" t="s">
        <v>12</v>
      </c>
      <c r="B17" s="132">
        <f>'Initial demand info'!F18</f>
        <v>31253.426930000005</v>
      </c>
      <c r="C17" s="128">
        <f t="shared" si="18"/>
        <v>32182.460142821394</v>
      </c>
      <c r="D17" s="128">
        <f t="shared" si="18"/>
        <v>33111.493355642786</v>
      </c>
      <c r="E17" s="128">
        <f t="shared" si="18"/>
        <v>34040.526568464178</v>
      </c>
      <c r="F17" s="128">
        <f t="shared" si="18"/>
        <v>34969.55978128557</v>
      </c>
      <c r="G17" s="133">
        <f t="shared" ref="G17:G21" si="22">G$15*AL17</f>
        <v>35898.592994106948</v>
      </c>
      <c r="H17" s="133">
        <f t="shared" si="19"/>
        <v>35095.067885670651</v>
      </c>
      <c r="I17" s="133">
        <f t="shared" si="19"/>
        <v>34290.174872259224</v>
      </c>
      <c r="J17" s="133">
        <f t="shared" si="19"/>
        <v>33483.877450630745</v>
      </c>
      <c r="K17" s="133">
        <f t="shared" si="19"/>
        <v>32676.137807076306</v>
      </c>
      <c r="L17" s="133">
        <f t="shared" si="19"/>
        <v>31866.916758080199</v>
      </c>
      <c r="M17" s="133">
        <f t="shared" si="19"/>
        <v>31482.674086482479</v>
      </c>
      <c r="N17" s="133">
        <f t="shared" si="19"/>
        <v>31098.431414884755</v>
      </c>
      <c r="O17" s="133">
        <f t="shared" si="19"/>
        <v>30714.188743287035</v>
      </c>
      <c r="P17" s="133">
        <f t="shared" si="19"/>
        <v>30329.946071689312</v>
      </c>
      <c r="Q17" s="133">
        <f t="shared" si="19"/>
        <v>29945.703400091577</v>
      </c>
      <c r="R17" s="133">
        <f t="shared" si="19"/>
        <v>29669.647229763945</v>
      </c>
      <c r="S17" s="133">
        <f t="shared" si="19"/>
        <v>29393.591059436316</v>
      </c>
      <c r="T17" s="133">
        <f t="shared" si="19"/>
        <v>29117.534889108683</v>
      </c>
      <c r="U17" s="133">
        <f t="shared" si="19"/>
        <v>28841.478718781054</v>
      </c>
      <c r="V17" s="133">
        <f t="shared" si="19"/>
        <v>28565.422548453422</v>
      </c>
      <c r="W17" s="133">
        <f t="shared" si="19"/>
        <v>28371.68995402725</v>
      </c>
      <c r="X17" s="133">
        <f t="shared" si="20"/>
        <v>28177.957359601081</v>
      </c>
      <c r="Y17" s="133">
        <f t="shared" si="20"/>
        <v>27984.224765174913</v>
      </c>
      <c r="Z17" s="133">
        <f t="shared" si="20"/>
        <v>27790.492170748745</v>
      </c>
      <c r="AA17" s="133">
        <f t="shared" si="20"/>
        <v>27596.759576322569</v>
      </c>
      <c r="AB17" s="133">
        <f t="shared" si="20"/>
        <v>27844.487841534632</v>
      </c>
      <c r="AC17" s="133">
        <f t="shared" si="20"/>
        <v>28092.216106746695</v>
      </c>
      <c r="AD17" s="133">
        <f t="shared" si="20"/>
        <v>28339.944371958758</v>
      </c>
      <c r="AE17" s="133">
        <f t="shared" si="20"/>
        <v>28587.672637170821</v>
      </c>
      <c r="AF17" s="133">
        <f t="shared" si="20"/>
        <v>28835.400902382888</v>
      </c>
      <c r="AG17" s="161">
        <f t="shared" ref="AG17:AG21" si="23">B17/B$15</f>
        <v>0.11458099314064607</v>
      </c>
      <c r="AH17" s="161">
        <f t="shared" si="21"/>
        <v>0.11645368797309785</v>
      </c>
      <c r="AI17" s="161">
        <f t="shared" si="21"/>
        <v>0.11827833348405632</v>
      </c>
      <c r="AJ17" s="161">
        <f t="shared" si="21"/>
        <v>0.12005675551332347</v>
      </c>
      <c r="AK17" s="161">
        <f t="shared" si="21"/>
        <v>0.12179068855031148</v>
      </c>
      <c r="AL17" s="176">
        <v>0.12348178137651825</v>
      </c>
      <c r="AM17" s="176">
        <v>0.12162051784693297</v>
      </c>
      <c r="AN17" s="176">
        <v>0.11972643375082402</v>
      </c>
      <c r="AO17" s="176">
        <v>0.11779865325463466</v>
      </c>
      <c r="AP17" s="176">
        <v>0.11583626908236877</v>
      </c>
      <c r="AQ17" s="176">
        <v>0.11383834109183248</v>
      </c>
      <c r="AR17" s="176">
        <v>0.11383834109183248</v>
      </c>
      <c r="AS17" s="176">
        <v>0.11383834109183248</v>
      </c>
      <c r="AT17" s="176">
        <v>0.11383834109183248</v>
      </c>
      <c r="AU17" s="176">
        <v>0.11383834109183248</v>
      </c>
      <c r="AV17" s="176">
        <v>0.11383834109183248</v>
      </c>
      <c r="AW17" s="176">
        <v>0.11383834109183248</v>
      </c>
      <c r="AX17" s="176">
        <v>0.11383834109183248</v>
      </c>
      <c r="AY17" s="176">
        <v>0.11383834109183248</v>
      </c>
      <c r="AZ17" s="176">
        <v>0.11383834109183248</v>
      </c>
      <c r="BA17" s="176">
        <v>0.11383834109183248</v>
      </c>
      <c r="BB17" s="176">
        <v>0.11383834109183248</v>
      </c>
      <c r="BC17" s="176">
        <v>0.11383834109183248</v>
      </c>
      <c r="BD17" s="176">
        <v>0.11383834109183248</v>
      </c>
      <c r="BE17" s="176">
        <v>0.11383834109183248</v>
      </c>
      <c r="BF17" s="177">
        <v>0.11383834109183248</v>
      </c>
      <c r="BG17" s="135">
        <v>0.11383834109183248</v>
      </c>
      <c r="BH17" s="135">
        <v>0.11383834109183248</v>
      </c>
      <c r="BI17" s="135">
        <v>0.11383834109183248</v>
      </c>
      <c r="BJ17" s="135">
        <v>0.11383834109183248</v>
      </c>
      <c r="BK17" s="135">
        <v>0.11383834109183248</v>
      </c>
    </row>
    <row r="18" spans="1:97" x14ac:dyDescent="0.35">
      <c r="A18" s="136" t="s">
        <v>11</v>
      </c>
      <c r="B18" s="127">
        <f>'Initial demand info'!F19</f>
        <v>117304.54125000001</v>
      </c>
      <c r="C18" s="128">
        <f t="shared" si="18"/>
        <v>116371.47135761335</v>
      </c>
      <c r="D18" s="128">
        <f t="shared" si="18"/>
        <v>115438.40146522669</v>
      </c>
      <c r="E18" s="128">
        <f t="shared" si="18"/>
        <v>114505.33157284003</v>
      </c>
      <c r="F18" s="128">
        <f t="shared" si="18"/>
        <v>113572.26168045338</v>
      </c>
      <c r="G18" s="133">
        <f t="shared" si="22"/>
        <v>112639.1917880667</v>
      </c>
      <c r="H18" s="133">
        <f t="shared" si="19"/>
        <v>112615.33536449587</v>
      </c>
      <c r="I18" s="133">
        <f t="shared" si="19"/>
        <v>112593.54736101082</v>
      </c>
      <c r="J18" s="133">
        <f t="shared" si="19"/>
        <v>112573.88297445647</v>
      </c>
      <c r="K18" s="133">
        <f t="shared" si="19"/>
        <v>112556.39938324541</v>
      </c>
      <c r="L18" s="133">
        <f t="shared" si="19"/>
        <v>112541.15583708616</v>
      </c>
      <c r="M18" s="133">
        <f t="shared" si="19"/>
        <v>111184.16498943621</v>
      </c>
      <c r="N18" s="133">
        <f t="shared" si="19"/>
        <v>109827.17414178626</v>
      </c>
      <c r="O18" s="133">
        <f t="shared" si="19"/>
        <v>108470.18329413632</v>
      </c>
      <c r="P18" s="133">
        <f t="shared" si="19"/>
        <v>107113.19244648637</v>
      </c>
      <c r="Q18" s="133">
        <f t="shared" si="19"/>
        <v>105756.20159883637</v>
      </c>
      <c r="R18" s="133">
        <f t="shared" si="19"/>
        <v>104781.28203819976</v>
      </c>
      <c r="S18" s="133">
        <f t="shared" si="19"/>
        <v>103806.36247756315</v>
      </c>
      <c r="T18" s="133">
        <f t="shared" si="19"/>
        <v>102831.44291692653</v>
      </c>
      <c r="U18" s="133">
        <f t="shared" si="19"/>
        <v>101856.52335628992</v>
      </c>
      <c r="V18" s="133">
        <f t="shared" si="19"/>
        <v>100881.6037956533</v>
      </c>
      <c r="W18" s="133">
        <f t="shared" si="19"/>
        <v>100197.41805325604</v>
      </c>
      <c r="X18" s="133">
        <f t="shared" si="20"/>
        <v>99513.232310858803</v>
      </c>
      <c r="Y18" s="133">
        <f t="shared" si="20"/>
        <v>98829.046568461548</v>
      </c>
      <c r="Z18" s="133">
        <f t="shared" si="20"/>
        <v>98144.860826064294</v>
      </c>
      <c r="AA18" s="133">
        <f t="shared" si="20"/>
        <v>97460.675083667025</v>
      </c>
      <c r="AB18" s="133">
        <f t="shared" si="20"/>
        <v>98335.551856720776</v>
      </c>
      <c r="AC18" s="133">
        <f t="shared" si="20"/>
        <v>99210.428629774528</v>
      </c>
      <c r="AD18" s="133">
        <f t="shared" si="20"/>
        <v>100085.30540282829</v>
      </c>
      <c r="AE18" s="133">
        <f t="shared" si="20"/>
        <v>100960.18217588204</v>
      </c>
      <c r="AF18" s="133">
        <f t="shared" si="20"/>
        <v>101835.0589489358</v>
      </c>
      <c r="AG18" s="161">
        <f t="shared" si="23"/>
        <v>0.43006070554877496</v>
      </c>
      <c r="AH18" s="161">
        <f t="shared" si="21"/>
        <v>0.42109543379556325</v>
      </c>
      <c r="AI18" s="161">
        <f t="shared" si="21"/>
        <v>0.41236019163248033</v>
      </c>
      <c r="AJ18" s="161">
        <f t="shared" si="21"/>
        <v>0.40384623809985709</v>
      </c>
      <c r="AK18" s="161">
        <f t="shared" si="21"/>
        <v>0.39554526956558878</v>
      </c>
      <c r="AL18" s="174">
        <v>0.38744939271255063</v>
      </c>
      <c r="AM18" s="174">
        <v>0.39026382422608841</v>
      </c>
      <c r="AN18" s="174">
        <v>0.39312788398154253</v>
      </c>
      <c r="AO18" s="174">
        <v>0.39604289633385981</v>
      </c>
      <c r="AP18" s="174">
        <v>0.3990102331823519</v>
      </c>
      <c r="AQ18" s="174">
        <v>0.40203131612357179</v>
      </c>
      <c r="AR18" s="174">
        <v>0.40203131612357179</v>
      </c>
      <c r="AS18" s="174">
        <v>0.40203131612357179</v>
      </c>
      <c r="AT18" s="174">
        <v>0.40203131612357179</v>
      </c>
      <c r="AU18" s="174">
        <v>0.40203131612357179</v>
      </c>
      <c r="AV18" s="174">
        <v>0.40203131612357179</v>
      </c>
      <c r="AW18" s="174">
        <v>0.40203131612357179</v>
      </c>
      <c r="AX18" s="174">
        <v>0.40203131612357179</v>
      </c>
      <c r="AY18" s="174">
        <v>0.40203131612357179</v>
      </c>
      <c r="AZ18" s="174">
        <v>0.40203131612357179</v>
      </c>
      <c r="BA18" s="174">
        <v>0.40203131612357179</v>
      </c>
      <c r="BB18" s="174">
        <v>0.40203131612357179</v>
      </c>
      <c r="BC18" s="174">
        <v>0.40203131612357179</v>
      </c>
      <c r="BD18" s="174">
        <v>0.40203131612357179</v>
      </c>
      <c r="BE18" s="174">
        <v>0.40203131612357179</v>
      </c>
      <c r="BF18" s="175">
        <v>0.40203131612357179</v>
      </c>
      <c r="BG18" s="130">
        <v>0.40203131612357179</v>
      </c>
      <c r="BH18" s="130">
        <v>0.40203131612357179</v>
      </c>
      <c r="BI18" s="130">
        <v>0.40203131612357179</v>
      </c>
      <c r="BJ18" s="130">
        <v>0.40203131612357179</v>
      </c>
      <c r="BK18" s="130">
        <v>0.40203131612357179</v>
      </c>
    </row>
    <row r="19" spans="1:97" x14ac:dyDescent="0.35">
      <c r="A19" s="131" t="s">
        <v>9</v>
      </c>
      <c r="B19" s="132">
        <f>'Initial demand info'!F20</f>
        <v>93985.972570000013</v>
      </c>
      <c r="C19" s="128">
        <f t="shared" si="18"/>
        <v>94350.387693510216</v>
      </c>
      <c r="D19" s="128">
        <f t="shared" si="18"/>
        <v>94714.80281702042</v>
      </c>
      <c r="E19" s="128">
        <f t="shared" si="18"/>
        <v>95079.217940530623</v>
      </c>
      <c r="F19" s="128">
        <f t="shared" si="18"/>
        <v>95443.633064040827</v>
      </c>
      <c r="G19" s="133">
        <f t="shared" si="22"/>
        <v>95808.048187551001</v>
      </c>
      <c r="H19" s="133">
        <f t="shared" si="19"/>
        <v>94867.460201359543</v>
      </c>
      <c r="I19" s="133">
        <f t="shared" si="19"/>
        <v>93926.287674873849</v>
      </c>
      <c r="J19" s="133">
        <f t="shared" si="19"/>
        <v>92984.515009338036</v>
      </c>
      <c r="K19" s="133">
        <f t="shared" si="19"/>
        <v>92042.126046000601</v>
      </c>
      <c r="L19" s="133">
        <f t="shared" si="19"/>
        <v>91099.104040757098</v>
      </c>
      <c r="M19" s="133">
        <f t="shared" si="19"/>
        <v>90000.655659869939</v>
      </c>
      <c r="N19" s="133">
        <f t="shared" si="19"/>
        <v>88902.207278982765</v>
      </c>
      <c r="O19" s="133">
        <f t="shared" si="19"/>
        <v>87803.758898095606</v>
      </c>
      <c r="P19" s="133">
        <f t="shared" si="19"/>
        <v>86705.310517208432</v>
      </c>
      <c r="Q19" s="133">
        <f t="shared" si="19"/>
        <v>85606.86213632123</v>
      </c>
      <c r="R19" s="133">
        <f t="shared" si="19"/>
        <v>84817.690407763803</v>
      </c>
      <c r="S19" s="133">
        <f t="shared" si="19"/>
        <v>84028.518679206376</v>
      </c>
      <c r="T19" s="133">
        <f t="shared" si="19"/>
        <v>83239.346950648949</v>
      </c>
      <c r="U19" s="133">
        <f t="shared" si="19"/>
        <v>82450.175222091522</v>
      </c>
      <c r="V19" s="133">
        <f t="shared" si="19"/>
        <v>81661.003493534081</v>
      </c>
      <c r="W19" s="133">
        <f t="shared" si="19"/>
        <v>81107.173139951468</v>
      </c>
      <c r="X19" s="133">
        <f t="shared" si="20"/>
        <v>80553.342786368856</v>
      </c>
      <c r="Y19" s="133">
        <f t="shared" si="20"/>
        <v>79999.512432786229</v>
      </c>
      <c r="Z19" s="133">
        <f t="shared" si="20"/>
        <v>79445.682079203616</v>
      </c>
      <c r="AA19" s="133">
        <f t="shared" si="20"/>
        <v>78891.851725620989</v>
      </c>
      <c r="AB19" s="133">
        <f t="shared" si="20"/>
        <v>79600.041450335018</v>
      </c>
      <c r="AC19" s="133">
        <f t="shared" si="20"/>
        <v>80308.231175049063</v>
      </c>
      <c r="AD19" s="133">
        <f t="shared" si="20"/>
        <v>81016.420899763107</v>
      </c>
      <c r="AE19" s="133">
        <f t="shared" si="20"/>
        <v>81724.610624477136</v>
      </c>
      <c r="AF19" s="133">
        <f t="shared" si="20"/>
        <v>82432.80034919118</v>
      </c>
      <c r="AG19" s="161">
        <f t="shared" si="23"/>
        <v>0.3445704083101046</v>
      </c>
      <c r="AH19" s="161">
        <f t="shared" si="21"/>
        <v>0.34141114631510566</v>
      </c>
      <c r="AI19" s="161">
        <f t="shared" si="21"/>
        <v>0.33833294418776305</v>
      </c>
      <c r="AJ19" s="161">
        <f t="shared" si="21"/>
        <v>0.33533272171116402</v>
      </c>
      <c r="AK19" s="161">
        <f t="shared" si="21"/>
        <v>0.33240755277776263</v>
      </c>
      <c r="AL19" s="176">
        <v>0.32955465587044541</v>
      </c>
      <c r="AM19" s="176">
        <v>0.32875929102344204</v>
      </c>
      <c r="AN19" s="176">
        <v>0.32794990112063288</v>
      </c>
      <c r="AO19" s="176">
        <v>0.32712611189625085</v>
      </c>
      <c r="AP19" s="176">
        <v>0.32628753564838126</v>
      </c>
      <c r="AQ19" s="176">
        <v>0.3254337706305544</v>
      </c>
      <c r="AR19" s="176">
        <v>0.3254337706305544</v>
      </c>
      <c r="AS19" s="176">
        <v>0.3254337706305544</v>
      </c>
      <c r="AT19" s="176">
        <v>0.3254337706305544</v>
      </c>
      <c r="AU19" s="176">
        <v>0.3254337706305544</v>
      </c>
      <c r="AV19" s="176">
        <v>0.3254337706305544</v>
      </c>
      <c r="AW19" s="176">
        <v>0.3254337706305544</v>
      </c>
      <c r="AX19" s="176">
        <v>0.3254337706305544</v>
      </c>
      <c r="AY19" s="176">
        <v>0.3254337706305544</v>
      </c>
      <c r="AZ19" s="176">
        <v>0.3254337706305544</v>
      </c>
      <c r="BA19" s="176">
        <v>0.3254337706305544</v>
      </c>
      <c r="BB19" s="176">
        <v>0.3254337706305544</v>
      </c>
      <c r="BC19" s="176">
        <v>0.3254337706305544</v>
      </c>
      <c r="BD19" s="176">
        <v>0.3254337706305544</v>
      </c>
      <c r="BE19" s="176">
        <v>0.3254337706305544</v>
      </c>
      <c r="BF19" s="177">
        <v>0.3254337706305544</v>
      </c>
      <c r="BG19" s="135">
        <v>0.3254337706305544</v>
      </c>
      <c r="BH19" s="135">
        <v>0.3254337706305544</v>
      </c>
      <c r="BI19" s="135">
        <v>0.3254337706305544</v>
      </c>
      <c r="BJ19" s="135">
        <v>0.3254337706305544</v>
      </c>
      <c r="BK19" s="135">
        <v>0.3254337706305544</v>
      </c>
    </row>
    <row r="20" spans="1:97" x14ac:dyDescent="0.35">
      <c r="A20" s="136" t="s">
        <v>10</v>
      </c>
      <c r="B20" s="127">
        <f>'Initial demand info'!F21</f>
        <v>20397.752330000003</v>
      </c>
      <c r="C20" s="128">
        <f t="shared" si="18"/>
        <v>19778.590828022116</v>
      </c>
      <c r="D20" s="128">
        <f t="shared" si="18"/>
        <v>19159.429326044228</v>
      </c>
      <c r="E20" s="128">
        <f t="shared" si="18"/>
        <v>18540.267824066341</v>
      </c>
      <c r="F20" s="128">
        <f t="shared" si="18"/>
        <v>17921.106322088453</v>
      </c>
      <c r="G20" s="133">
        <f t="shared" si="22"/>
        <v>17301.944820110559</v>
      </c>
      <c r="H20" s="133">
        <f t="shared" si="19"/>
        <v>16899.37117127324</v>
      </c>
      <c r="I20" s="133">
        <f t="shared" si="19"/>
        <v>16496.099267521811</v>
      </c>
      <c r="J20" s="133">
        <f t="shared" si="19"/>
        <v>16092.110475567773</v>
      </c>
      <c r="K20" s="133">
        <f t="shared" si="19"/>
        <v>15687.385493187245</v>
      </c>
      <c r="L20" s="133">
        <f t="shared" si="19"/>
        <v>15281.904318930643</v>
      </c>
      <c r="M20" s="133">
        <f t="shared" si="19"/>
        <v>15097.639245933966</v>
      </c>
      <c r="N20" s="133">
        <f t="shared" si="19"/>
        <v>14913.374172937289</v>
      </c>
      <c r="O20" s="133">
        <f t="shared" si="19"/>
        <v>14729.109099940613</v>
      </c>
      <c r="P20" s="133">
        <f t="shared" si="19"/>
        <v>14544.844026943936</v>
      </c>
      <c r="Q20" s="133">
        <f t="shared" si="19"/>
        <v>14360.578953947252</v>
      </c>
      <c r="R20" s="133">
        <f t="shared" si="19"/>
        <v>14228.195139923964</v>
      </c>
      <c r="S20" s="133">
        <f t="shared" si="19"/>
        <v>14095.811325900677</v>
      </c>
      <c r="T20" s="133">
        <f t="shared" si="19"/>
        <v>13963.427511877389</v>
      </c>
      <c r="U20" s="133">
        <f t="shared" si="19"/>
        <v>13831.043697854102</v>
      </c>
      <c r="V20" s="133">
        <f t="shared" si="19"/>
        <v>13698.659883830813</v>
      </c>
      <c r="W20" s="133">
        <f t="shared" si="19"/>
        <v>13605.754661968449</v>
      </c>
      <c r="X20" s="133">
        <f t="shared" si="20"/>
        <v>13512.849440106087</v>
      </c>
      <c r="Y20" s="133">
        <f t="shared" si="20"/>
        <v>13419.944218243723</v>
      </c>
      <c r="Z20" s="133">
        <f t="shared" si="20"/>
        <v>13327.03899638136</v>
      </c>
      <c r="AA20" s="133">
        <f t="shared" si="20"/>
        <v>13234.133774518992</v>
      </c>
      <c r="AB20" s="133">
        <f t="shared" si="20"/>
        <v>13352.932831070502</v>
      </c>
      <c r="AC20" s="133">
        <f t="shared" si="20"/>
        <v>13471.731887622012</v>
      </c>
      <c r="AD20" s="133">
        <f t="shared" si="20"/>
        <v>13590.530944173523</v>
      </c>
      <c r="AE20" s="133">
        <f t="shared" si="20"/>
        <v>13709.330000725033</v>
      </c>
      <c r="AF20" s="133">
        <f t="shared" si="20"/>
        <v>13828.129057276543</v>
      </c>
      <c r="AG20" s="161">
        <f t="shared" si="23"/>
        <v>7.4782030304806874E-2</v>
      </c>
      <c r="AH20" s="161">
        <f t="shared" si="21"/>
        <v>7.1569725701900191E-2</v>
      </c>
      <c r="AI20" s="161">
        <f t="shared" si="21"/>
        <v>6.8439841925881498E-2</v>
      </c>
      <c r="AJ20" s="161">
        <f t="shared" si="21"/>
        <v>6.5389247044361942E-2</v>
      </c>
      <c r="AK20" s="161">
        <f t="shared" si="21"/>
        <v>6.2414965821747444E-2</v>
      </c>
      <c r="AL20" s="174">
        <v>5.9514170040485835E-2</v>
      </c>
      <c r="AM20" s="174">
        <v>5.8564077432001968E-2</v>
      </c>
      <c r="AN20" s="174">
        <v>5.7597231377719188E-2</v>
      </c>
      <c r="AO20" s="174">
        <v>5.6613184803391815E-2</v>
      </c>
      <c r="AP20" s="174">
        <v>5.5611474584801215E-2</v>
      </c>
      <c r="AQ20" s="174">
        <v>5.4591620820990262E-2</v>
      </c>
      <c r="AR20" s="174">
        <v>5.4591620820990262E-2</v>
      </c>
      <c r="AS20" s="174">
        <v>5.4591620820990262E-2</v>
      </c>
      <c r="AT20" s="174">
        <v>5.4591620820990262E-2</v>
      </c>
      <c r="AU20" s="174">
        <v>5.4591620820990262E-2</v>
      </c>
      <c r="AV20" s="174">
        <v>5.4591620820990262E-2</v>
      </c>
      <c r="AW20" s="174">
        <v>5.4591620820990262E-2</v>
      </c>
      <c r="AX20" s="174">
        <v>5.4591620820990262E-2</v>
      </c>
      <c r="AY20" s="174">
        <v>5.4591620820990262E-2</v>
      </c>
      <c r="AZ20" s="174">
        <v>5.4591620820990262E-2</v>
      </c>
      <c r="BA20" s="174">
        <v>5.4591620820990262E-2</v>
      </c>
      <c r="BB20" s="174">
        <v>5.4591620820990262E-2</v>
      </c>
      <c r="BC20" s="174">
        <v>5.4591620820990262E-2</v>
      </c>
      <c r="BD20" s="174">
        <v>5.4591620820990262E-2</v>
      </c>
      <c r="BE20" s="174">
        <v>5.4591620820990262E-2</v>
      </c>
      <c r="BF20" s="175">
        <v>5.4591620820990262E-2</v>
      </c>
      <c r="BG20" s="130">
        <v>5.4591620820990262E-2</v>
      </c>
      <c r="BH20" s="130">
        <v>5.4591620820990262E-2</v>
      </c>
      <c r="BI20" s="130">
        <v>5.4591620820990262E-2</v>
      </c>
      <c r="BJ20" s="130">
        <v>5.4591620820990262E-2</v>
      </c>
      <c r="BK20" s="130">
        <v>5.4591620820990262E-2</v>
      </c>
    </row>
    <row r="21" spans="1:97" x14ac:dyDescent="0.35">
      <c r="A21" s="131" t="s">
        <v>14</v>
      </c>
      <c r="B21" s="132">
        <f>'Initial demand info'!F22</f>
        <v>4760.8800600000004</v>
      </c>
      <c r="C21" s="128">
        <f t="shared" si="18"/>
        <v>7881.1345974954111</v>
      </c>
      <c r="D21" s="128">
        <f t="shared" si="18"/>
        <v>11001.389134990823</v>
      </c>
      <c r="E21" s="128">
        <f t="shared" si="18"/>
        <v>14121.643672486232</v>
      </c>
      <c r="F21" s="128">
        <f t="shared" si="18"/>
        <v>17241.898209981642</v>
      </c>
      <c r="G21" s="133">
        <f t="shared" si="22"/>
        <v>20362.152747477052</v>
      </c>
      <c r="H21" s="133">
        <f t="shared" si="19"/>
        <v>19515.591812851108</v>
      </c>
      <c r="I21" s="133">
        <f t="shared" si="19"/>
        <v>18667.259686136986</v>
      </c>
      <c r="J21" s="133">
        <f t="shared" si="19"/>
        <v>17817.109102170489</v>
      </c>
      <c r="K21" s="133">
        <f t="shared" si="19"/>
        <v>16965.091098967205</v>
      </c>
      <c r="L21" s="133">
        <f t="shared" si="19"/>
        <v>16111.154940888124</v>
      </c>
      <c r="M21" s="133">
        <f t="shared" si="19"/>
        <v>15916.890987961395</v>
      </c>
      <c r="N21" s="133">
        <f t="shared" si="19"/>
        <v>15722.627035034666</v>
      </c>
      <c r="O21" s="133">
        <f t="shared" si="19"/>
        <v>15528.363082107937</v>
      </c>
      <c r="P21" s="133">
        <f t="shared" si="19"/>
        <v>15334.099129181208</v>
      </c>
      <c r="Q21" s="133">
        <f t="shared" si="19"/>
        <v>15139.835176254472</v>
      </c>
      <c r="R21" s="133">
        <f t="shared" si="19"/>
        <v>15000.267744415967</v>
      </c>
      <c r="S21" s="133">
        <f t="shared" si="19"/>
        <v>14860.700312577463</v>
      </c>
      <c r="T21" s="133">
        <f t="shared" si="19"/>
        <v>14721.132880738958</v>
      </c>
      <c r="U21" s="133">
        <f t="shared" si="19"/>
        <v>14581.565448900452</v>
      </c>
      <c r="V21" s="133">
        <f t="shared" si="19"/>
        <v>14441.998017061946</v>
      </c>
      <c r="W21" s="133">
        <f t="shared" si="19"/>
        <v>14344.051426571392</v>
      </c>
      <c r="X21" s="133">
        <f t="shared" si="20"/>
        <v>14246.104836080838</v>
      </c>
      <c r="Y21" s="133">
        <f t="shared" si="20"/>
        <v>14148.158245590284</v>
      </c>
      <c r="Z21" s="133">
        <f t="shared" si="20"/>
        <v>14050.211655099731</v>
      </c>
      <c r="AA21" s="133">
        <f t="shared" si="20"/>
        <v>13952.265064609173</v>
      </c>
      <c r="AB21" s="133">
        <f t="shared" si="20"/>
        <v>14077.510581593711</v>
      </c>
      <c r="AC21" s="133">
        <f t="shared" si="20"/>
        <v>14202.756098578249</v>
      </c>
      <c r="AD21" s="133">
        <f t="shared" si="20"/>
        <v>14328.001615562787</v>
      </c>
      <c r="AE21" s="133">
        <f t="shared" si="20"/>
        <v>14453.247132547325</v>
      </c>
      <c r="AF21" s="133">
        <f t="shared" si="20"/>
        <v>14578.492649531861</v>
      </c>
      <c r="AG21" s="161">
        <f t="shared" si="23"/>
        <v>1.7454289627825418E-2</v>
      </c>
      <c r="AH21" s="161">
        <f t="shared" si="21"/>
        <v>2.8518242086456463E-2</v>
      </c>
      <c r="AI21" s="161">
        <f t="shared" si="21"/>
        <v>3.9298317322029402E-2</v>
      </c>
      <c r="AJ21" s="161">
        <f t="shared" si="21"/>
        <v>4.9805302465696935E-2</v>
      </c>
      <c r="AK21" s="161">
        <f t="shared" si="21"/>
        <v>6.0049444947026138E-2</v>
      </c>
      <c r="AL21" s="176">
        <v>7.0040485829959517E-2</v>
      </c>
      <c r="AM21" s="176">
        <v>6.7630482724822361E-2</v>
      </c>
      <c r="AN21" s="176">
        <v>6.51779828609097E-2</v>
      </c>
      <c r="AO21" s="176">
        <v>6.2681852190539553E-2</v>
      </c>
      <c r="AP21" s="176">
        <v>6.0140915953699067E-2</v>
      </c>
      <c r="AQ21" s="176">
        <v>5.7553956834532384E-2</v>
      </c>
      <c r="AR21" s="176">
        <v>5.7553956834532384E-2</v>
      </c>
      <c r="AS21" s="176">
        <v>5.7553956834532384E-2</v>
      </c>
      <c r="AT21" s="176">
        <v>5.7553956834532384E-2</v>
      </c>
      <c r="AU21" s="176">
        <v>5.7553956834532384E-2</v>
      </c>
      <c r="AV21" s="176">
        <v>5.7553956834532384E-2</v>
      </c>
      <c r="AW21" s="176">
        <v>5.7553956834532384E-2</v>
      </c>
      <c r="AX21" s="176">
        <v>5.7553956834532384E-2</v>
      </c>
      <c r="AY21" s="176">
        <v>5.7553956834532384E-2</v>
      </c>
      <c r="AZ21" s="176">
        <v>5.7553956834532384E-2</v>
      </c>
      <c r="BA21" s="176">
        <v>5.7553956834532384E-2</v>
      </c>
      <c r="BB21" s="176">
        <v>5.7553956834532384E-2</v>
      </c>
      <c r="BC21" s="176">
        <v>5.7553956834532384E-2</v>
      </c>
      <c r="BD21" s="176">
        <v>5.7553956834532384E-2</v>
      </c>
      <c r="BE21" s="176">
        <v>5.7553956834532384E-2</v>
      </c>
      <c r="BF21" s="177">
        <v>5.7553956834532384E-2</v>
      </c>
      <c r="BG21" s="135">
        <v>5.7553956834532384E-2</v>
      </c>
      <c r="BH21" s="135">
        <v>5.7553956834532384E-2</v>
      </c>
      <c r="BI21" s="135">
        <v>5.7553956834532384E-2</v>
      </c>
      <c r="BJ21" s="135">
        <v>5.7553956834532384E-2</v>
      </c>
      <c r="BK21" s="135">
        <v>5.7553956834532384E-2</v>
      </c>
    </row>
    <row r="22" spans="1:97" ht="15" thickBot="1" x14ac:dyDescent="0.4">
      <c r="A22" s="136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30"/>
      <c r="BG22" s="130"/>
      <c r="BH22" s="130"/>
      <c r="BI22" s="130"/>
      <c r="BJ22" s="130"/>
      <c r="BK22" s="130"/>
    </row>
    <row r="23" spans="1:97" x14ac:dyDescent="0.35">
      <c r="A23" s="43" t="s">
        <v>6</v>
      </c>
      <c r="B23" s="124">
        <f>'Initial demand info'!F24</f>
        <v>336996.20653999998</v>
      </c>
      <c r="C23" s="147">
        <f>B23+($G23-$B23)/5</f>
        <v>350518.87592276727</v>
      </c>
      <c r="D23" s="147">
        <f t="shared" ref="D23:F23" si="24">C23+($G23-$B23)/5</f>
        <v>364041.54530553456</v>
      </c>
      <c r="E23" s="147">
        <f t="shared" si="24"/>
        <v>377564.21468830184</v>
      </c>
      <c r="F23" s="147">
        <f t="shared" si="24"/>
        <v>391086.88407106913</v>
      </c>
      <c r="G23" s="163">
        <f>'Initial demand info'!K35</f>
        <v>404609.55345383642</v>
      </c>
      <c r="H23" s="147">
        <f>G23+($L23-$G23)/5</f>
        <v>397162.89661415468</v>
      </c>
      <c r="I23" s="147">
        <f t="shared" ref="I23:K23" si="25">H23+($L23-$G23)/5</f>
        <v>389716.23977447295</v>
      </c>
      <c r="J23" s="147">
        <f t="shared" si="25"/>
        <v>382269.58293479122</v>
      </c>
      <c r="K23" s="147">
        <f t="shared" si="25"/>
        <v>374822.92609510949</v>
      </c>
      <c r="L23" s="163">
        <f>'Initial demand info'!L35</f>
        <v>367376.26925542764</v>
      </c>
      <c r="M23" s="147">
        <f>L23+($Q23-$L23)/5</f>
        <v>362849.88585341902</v>
      </c>
      <c r="N23" s="147">
        <f t="shared" ref="N23:P23" si="26">M23+($Q23-$L23)/5</f>
        <v>358323.5024514104</v>
      </c>
      <c r="O23" s="147">
        <f t="shared" si="26"/>
        <v>353797.11904940178</v>
      </c>
      <c r="P23" s="147">
        <f t="shared" si="26"/>
        <v>349270.73564739316</v>
      </c>
      <c r="Q23" s="163">
        <f>'Initial demand info'!M35</f>
        <v>344744.35224538465</v>
      </c>
      <c r="R23" s="147">
        <f>Q23+($V23-$Q23)/5</f>
        <v>339041.01782111067</v>
      </c>
      <c r="S23" s="147">
        <f t="shared" ref="S23:U23" si="27">R23+($V23-$Q23)/5</f>
        <v>333337.68339683668</v>
      </c>
      <c r="T23" s="147">
        <f t="shared" si="27"/>
        <v>327634.3489725627</v>
      </c>
      <c r="U23" s="147">
        <f t="shared" si="27"/>
        <v>321931.01454828872</v>
      </c>
      <c r="V23" s="163">
        <f>'Initial demand info'!N35</f>
        <v>316227.68012401467</v>
      </c>
      <c r="W23" s="147">
        <f>V23+($AA23-$V23)/5</f>
        <v>311445.94841352111</v>
      </c>
      <c r="X23" s="147">
        <f t="shared" ref="X23:Y23" si="28">W23+($AA23-$V23)/5</f>
        <v>306664.21670302755</v>
      </c>
      <c r="Y23" s="147">
        <f t="shared" si="28"/>
        <v>301882.48499253398</v>
      </c>
      <c r="Z23" s="147">
        <f>Y23+($AA23-$V23)/5</f>
        <v>297100.75328204042</v>
      </c>
      <c r="AA23" s="163">
        <f>'Initial demand info'!O35</f>
        <v>292319.02157154679</v>
      </c>
      <c r="AB23" s="147">
        <f>AA23+($AF23-$AA23)/5</f>
        <v>290092.72526839352</v>
      </c>
      <c r="AC23" s="147">
        <f t="shared" ref="AC23:AE23" si="29">AB23+($AF23-$AA23)/5</f>
        <v>287866.42896524025</v>
      </c>
      <c r="AD23" s="147">
        <f t="shared" si="29"/>
        <v>285640.13266208698</v>
      </c>
      <c r="AE23" s="147">
        <f t="shared" si="29"/>
        <v>283413.83635893371</v>
      </c>
      <c r="AF23" s="163">
        <f>'Initial demand info'!P35</f>
        <v>281187.54005578056</v>
      </c>
      <c r="AG23" s="138">
        <v>1</v>
      </c>
      <c r="AH23" s="138">
        <v>1</v>
      </c>
      <c r="AI23" s="138">
        <v>1</v>
      </c>
      <c r="AJ23" s="138">
        <v>1</v>
      </c>
      <c r="AK23" s="138">
        <v>1</v>
      </c>
      <c r="AL23" s="138">
        <v>1</v>
      </c>
      <c r="AM23" s="138">
        <v>1</v>
      </c>
      <c r="AN23" s="138">
        <v>1</v>
      </c>
      <c r="AO23" s="138">
        <v>1</v>
      </c>
      <c r="AP23" s="138">
        <v>1</v>
      </c>
      <c r="AQ23" s="138">
        <v>0.99999999999999989</v>
      </c>
      <c r="AR23" s="138">
        <v>0.99999999999999989</v>
      </c>
      <c r="AS23" s="138">
        <v>0.99999999999999989</v>
      </c>
      <c r="AT23" s="138">
        <v>0.99999999999999989</v>
      </c>
      <c r="AU23" s="138">
        <v>0.99999999999999989</v>
      </c>
      <c r="AV23" s="138">
        <v>0.99999999999999989</v>
      </c>
      <c r="AW23" s="138">
        <v>0.99999999999999989</v>
      </c>
      <c r="AX23" s="138">
        <v>0.99999999999999989</v>
      </c>
      <c r="AY23" s="138">
        <v>0.99999999999999989</v>
      </c>
      <c r="AZ23" s="138">
        <v>0.99999999999999989</v>
      </c>
      <c r="BA23" s="138">
        <v>0.99999999999999989</v>
      </c>
      <c r="BB23" s="138">
        <v>0.99999999999999989</v>
      </c>
      <c r="BC23" s="138">
        <v>0.99999999999999989</v>
      </c>
      <c r="BD23" s="138">
        <v>0.99999999999999989</v>
      </c>
      <c r="BE23" s="138">
        <v>0.99999999999999989</v>
      </c>
      <c r="BF23" s="138">
        <v>0.99999999999999989</v>
      </c>
      <c r="BG23" s="138">
        <v>0.99999999999999989</v>
      </c>
      <c r="BH23" s="138">
        <v>0.99999999999999989</v>
      </c>
      <c r="BI23" s="138">
        <v>0.99999999999999989</v>
      </c>
      <c r="BJ23" s="138">
        <v>0.99999999999999989</v>
      </c>
      <c r="BK23" s="139">
        <v>0.99999999999999989</v>
      </c>
    </row>
    <row r="24" spans="1:97" x14ac:dyDescent="0.35">
      <c r="A24" s="140"/>
      <c r="B24" s="129"/>
      <c r="C24" s="153"/>
      <c r="D24" s="153"/>
      <c r="E24" s="153"/>
      <c r="F24" s="153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43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53"/>
      <c r="BH24" s="153"/>
      <c r="BI24" s="153"/>
      <c r="BJ24" s="153"/>
      <c r="BK24" s="164"/>
    </row>
    <row r="25" spans="1:97" x14ac:dyDescent="0.35">
      <c r="A25" s="141" t="s">
        <v>11</v>
      </c>
      <c r="B25" s="132">
        <f>'Initial demand info'!F25</f>
        <v>10114.180690000001</v>
      </c>
      <c r="C25" s="153">
        <f t="shared" ref="C25:F39" si="30">B25+($G25-$B25)/5</f>
        <v>12666.191207529162</v>
      </c>
      <c r="D25" s="153">
        <f t="shared" si="30"/>
        <v>15218.201725058323</v>
      </c>
      <c r="E25" s="153">
        <f t="shared" si="30"/>
        <v>17770.212242587484</v>
      </c>
      <c r="F25" s="153">
        <f t="shared" si="30"/>
        <v>20322.222760116645</v>
      </c>
      <c r="G25" s="133">
        <f>G$23*AL25</f>
        <v>22874.233277645802</v>
      </c>
      <c r="H25" s="133">
        <f t="shared" ref="H25:AF25" si="31">H$23*AM25</f>
        <v>27148.598209754527</v>
      </c>
      <c r="I25" s="133">
        <f t="shared" si="31"/>
        <v>31397.746579647366</v>
      </c>
      <c r="J25" s="133">
        <f t="shared" si="31"/>
        <v>35620.419289157253</v>
      </c>
      <c r="K25" s="133">
        <f t="shared" si="31"/>
        <v>39815.271996635282</v>
      </c>
      <c r="L25" s="133">
        <f t="shared" si="31"/>
        <v>43980.867778804619</v>
      </c>
      <c r="M25" s="133">
        <f t="shared" si="31"/>
        <v>43438.98664335897</v>
      </c>
      <c r="N25" s="133">
        <f t="shared" si="31"/>
        <v>42897.105507913322</v>
      </c>
      <c r="O25" s="133">
        <f t="shared" si="31"/>
        <v>42355.224372467674</v>
      </c>
      <c r="P25" s="133">
        <f t="shared" si="31"/>
        <v>41813.343237022025</v>
      </c>
      <c r="Q25" s="133">
        <f t="shared" si="31"/>
        <v>41271.462101576391</v>
      </c>
      <c r="R25" s="133">
        <f t="shared" si="31"/>
        <v>40588.680936313111</v>
      </c>
      <c r="S25" s="133">
        <f t="shared" si="31"/>
        <v>39905.89977104983</v>
      </c>
      <c r="T25" s="133">
        <f t="shared" si="31"/>
        <v>39223.118605786542</v>
      </c>
      <c r="U25" s="133">
        <f t="shared" si="31"/>
        <v>38540.337440523261</v>
      </c>
      <c r="V25" s="133">
        <f t="shared" si="31"/>
        <v>37857.556275259965</v>
      </c>
      <c r="W25" s="133">
        <f t="shared" si="31"/>
        <v>37285.105826734361</v>
      </c>
      <c r="X25" s="133">
        <f t="shared" si="31"/>
        <v>36712.65537820875</v>
      </c>
      <c r="Y25" s="133">
        <f t="shared" si="31"/>
        <v>36140.204929683139</v>
      </c>
      <c r="Z25" s="133">
        <f t="shared" si="31"/>
        <v>35567.754481157528</v>
      </c>
      <c r="AA25" s="133">
        <f t="shared" si="31"/>
        <v>34995.30403263191</v>
      </c>
      <c r="AB25" s="133">
        <f t="shared" si="31"/>
        <v>34728.780439412702</v>
      </c>
      <c r="AC25" s="133">
        <f t="shared" si="31"/>
        <v>34462.256846193486</v>
      </c>
      <c r="AD25" s="133">
        <f t="shared" si="31"/>
        <v>34195.733252974278</v>
      </c>
      <c r="AE25" s="133">
        <f t="shared" si="31"/>
        <v>33929.209659755063</v>
      </c>
      <c r="AF25" s="133">
        <f t="shared" si="31"/>
        <v>33662.686066535862</v>
      </c>
      <c r="AG25" s="161">
        <f>B25/B$23</f>
        <v>3.001274344849188E-2</v>
      </c>
      <c r="AH25" s="161">
        <f t="shared" ref="AH25:AK25" si="32">C25/C$23</f>
        <v>3.6135546692555323E-2</v>
      </c>
      <c r="AI25" s="161">
        <f t="shared" si="32"/>
        <v>4.1803475238755834E-2</v>
      </c>
      <c r="AJ25" s="161">
        <f t="shared" si="32"/>
        <v>4.706540384728379E-2</v>
      </c>
      <c r="AK25" s="161">
        <f t="shared" si="32"/>
        <v>5.1963447478907646E-2</v>
      </c>
      <c r="AL25" s="133">
        <v>5.6534090909090749E-2</v>
      </c>
      <c r="AM25" s="133">
        <v>6.8356330465908291E-2</v>
      </c>
      <c r="AN25" s="133">
        <v>8.056566130735815E-2</v>
      </c>
      <c r="AO25" s="133">
        <v>9.3181411441865883E-2</v>
      </c>
      <c r="AP25" s="133">
        <v>0.10622421742295547</v>
      </c>
      <c r="AQ25" s="133">
        <v>0.11971613699475457</v>
      </c>
      <c r="AR25" s="133">
        <v>0.11971613699475457</v>
      </c>
      <c r="AS25" s="133">
        <v>0.11971613699475457</v>
      </c>
      <c r="AT25" s="133">
        <v>0.11971613699475457</v>
      </c>
      <c r="AU25" s="133">
        <v>0.11971613699475457</v>
      </c>
      <c r="AV25" s="133">
        <v>0.11971613699475457</v>
      </c>
      <c r="AW25" s="133">
        <v>0.11971613699475457</v>
      </c>
      <c r="AX25" s="133">
        <v>0.11971613699475457</v>
      </c>
      <c r="AY25" s="133">
        <v>0.11971613699475457</v>
      </c>
      <c r="AZ25" s="133">
        <v>0.11971613699475457</v>
      </c>
      <c r="BA25" s="133">
        <v>0.11971613699475457</v>
      </c>
      <c r="BB25" s="133">
        <v>0.11971613699475457</v>
      </c>
      <c r="BC25" s="133">
        <v>0.11971613699475457</v>
      </c>
      <c r="BD25" s="133">
        <v>0.11971613699475457</v>
      </c>
      <c r="BE25" s="133">
        <v>0.11971613699475457</v>
      </c>
      <c r="BF25" s="133">
        <v>0.11971613699475457</v>
      </c>
      <c r="BG25" s="60">
        <v>0.11971613699475457</v>
      </c>
      <c r="BH25" s="60">
        <v>0.11971613699475457</v>
      </c>
      <c r="BI25" s="60">
        <v>0.11971613699475457</v>
      </c>
      <c r="BJ25" s="60">
        <v>0.11971613699475457</v>
      </c>
      <c r="BK25" s="165">
        <v>0.11971613699475457</v>
      </c>
    </row>
    <row r="26" spans="1:97" x14ac:dyDescent="0.35">
      <c r="A26" s="142" t="s">
        <v>113</v>
      </c>
      <c r="B26" s="129"/>
      <c r="C26" s="153"/>
      <c r="D26" s="153"/>
      <c r="E26" s="153"/>
      <c r="F26" s="153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53"/>
      <c r="BH26" s="153"/>
      <c r="BI26" s="153"/>
      <c r="BJ26" s="153"/>
      <c r="BK26" s="164"/>
    </row>
    <row r="27" spans="1:97" x14ac:dyDescent="0.35">
      <c r="A27" s="144" t="s">
        <v>109</v>
      </c>
      <c r="B27" s="151">
        <f>B25</f>
        <v>10114.180690000001</v>
      </c>
      <c r="C27" s="153">
        <f t="shared" si="30"/>
        <v>12666.191207529162</v>
      </c>
      <c r="D27" s="153">
        <f t="shared" si="30"/>
        <v>15218.201725058323</v>
      </c>
      <c r="E27" s="153">
        <f t="shared" si="30"/>
        <v>17770.212242587484</v>
      </c>
      <c r="F27" s="153">
        <f t="shared" si="30"/>
        <v>20322.222760116645</v>
      </c>
      <c r="G27" s="145">
        <f>G25</f>
        <v>22874.233277645802</v>
      </c>
      <c r="H27" s="145">
        <f t="shared" ref="H27:AF27" si="33">H25</f>
        <v>27148.598209754527</v>
      </c>
      <c r="I27" s="145">
        <f t="shared" si="33"/>
        <v>31397.746579647366</v>
      </c>
      <c r="J27" s="145">
        <f t="shared" si="33"/>
        <v>35620.419289157253</v>
      </c>
      <c r="K27" s="145">
        <f t="shared" si="33"/>
        <v>39815.271996635282</v>
      </c>
      <c r="L27" s="145">
        <f t="shared" si="33"/>
        <v>43980.867778804619</v>
      </c>
      <c r="M27" s="145">
        <f t="shared" si="33"/>
        <v>43438.98664335897</v>
      </c>
      <c r="N27" s="145">
        <f t="shared" si="33"/>
        <v>42897.105507913322</v>
      </c>
      <c r="O27" s="145">
        <f t="shared" si="33"/>
        <v>42355.224372467674</v>
      </c>
      <c r="P27" s="145">
        <f t="shared" si="33"/>
        <v>41813.343237022025</v>
      </c>
      <c r="Q27" s="145">
        <f t="shared" si="33"/>
        <v>41271.462101576391</v>
      </c>
      <c r="R27" s="145">
        <f t="shared" si="33"/>
        <v>40588.680936313111</v>
      </c>
      <c r="S27" s="145">
        <f t="shared" si="33"/>
        <v>39905.89977104983</v>
      </c>
      <c r="T27" s="145">
        <f t="shared" si="33"/>
        <v>39223.118605786542</v>
      </c>
      <c r="U27" s="145">
        <f t="shared" si="33"/>
        <v>38540.337440523261</v>
      </c>
      <c r="V27" s="145">
        <f t="shared" si="33"/>
        <v>37857.556275259965</v>
      </c>
      <c r="W27" s="145">
        <f t="shared" si="33"/>
        <v>37285.105826734361</v>
      </c>
      <c r="X27" s="145">
        <f t="shared" si="33"/>
        <v>36712.65537820875</v>
      </c>
      <c r="Y27" s="145">
        <f t="shared" si="33"/>
        <v>36140.204929683139</v>
      </c>
      <c r="Z27" s="145">
        <f t="shared" si="33"/>
        <v>35567.754481157528</v>
      </c>
      <c r="AA27" s="145">
        <f t="shared" si="33"/>
        <v>34995.30403263191</v>
      </c>
      <c r="AB27" s="145">
        <f t="shared" si="33"/>
        <v>34728.780439412702</v>
      </c>
      <c r="AC27" s="145">
        <f t="shared" si="33"/>
        <v>34462.256846193486</v>
      </c>
      <c r="AD27" s="145">
        <f t="shared" si="33"/>
        <v>34195.733252974278</v>
      </c>
      <c r="AE27" s="145">
        <f t="shared" si="33"/>
        <v>33929.209659755063</v>
      </c>
      <c r="AF27" s="145">
        <f t="shared" si="33"/>
        <v>33662.686066535862</v>
      </c>
      <c r="AG27" s="161">
        <f>B27/B$23</f>
        <v>3.001274344849188E-2</v>
      </c>
      <c r="AH27" s="161">
        <f t="shared" ref="AH27:BF27" si="34">C27/C$23</f>
        <v>3.6135546692555323E-2</v>
      </c>
      <c r="AI27" s="161">
        <f t="shared" si="34"/>
        <v>4.1803475238755834E-2</v>
      </c>
      <c r="AJ27" s="161">
        <f t="shared" si="34"/>
        <v>4.706540384728379E-2</v>
      </c>
      <c r="AK27" s="161">
        <f t="shared" si="34"/>
        <v>5.1963447478907646E-2</v>
      </c>
      <c r="AL27" s="161">
        <f t="shared" si="34"/>
        <v>5.6534090909090756E-2</v>
      </c>
      <c r="AM27" s="161">
        <f t="shared" si="34"/>
        <v>6.8356330465908291E-2</v>
      </c>
      <c r="AN27" s="161">
        <f t="shared" si="34"/>
        <v>8.056566130735815E-2</v>
      </c>
      <c r="AO27" s="161">
        <f t="shared" si="34"/>
        <v>9.3181411441865883E-2</v>
      </c>
      <c r="AP27" s="161">
        <f t="shared" si="34"/>
        <v>0.10622421742295547</v>
      </c>
      <c r="AQ27" s="161">
        <f t="shared" si="34"/>
        <v>0.11971613699475457</v>
      </c>
      <c r="AR27" s="161">
        <f t="shared" si="34"/>
        <v>0.11971613699475457</v>
      </c>
      <c r="AS27" s="161">
        <f t="shared" si="34"/>
        <v>0.11971613699475457</v>
      </c>
      <c r="AT27" s="161">
        <f t="shared" si="34"/>
        <v>0.11971613699475457</v>
      </c>
      <c r="AU27" s="161">
        <f t="shared" si="34"/>
        <v>0.11971613699475456</v>
      </c>
      <c r="AV27" s="161">
        <f t="shared" si="34"/>
        <v>0.11971613699475456</v>
      </c>
      <c r="AW27" s="161">
        <f t="shared" si="34"/>
        <v>0.11971613699475457</v>
      </c>
      <c r="AX27" s="161">
        <f t="shared" si="34"/>
        <v>0.11971613699475459</v>
      </c>
      <c r="AY27" s="161">
        <f t="shared" si="34"/>
        <v>0.11971613699475457</v>
      </c>
      <c r="AZ27" s="161">
        <f t="shared" si="34"/>
        <v>0.11971613699475457</v>
      </c>
      <c r="BA27" s="161">
        <f t="shared" si="34"/>
        <v>0.11971613699475456</v>
      </c>
      <c r="BB27" s="161">
        <f t="shared" si="34"/>
        <v>0.11971613699475459</v>
      </c>
      <c r="BC27" s="161">
        <f t="shared" si="34"/>
        <v>0.11971613699475457</v>
      </c>
      <c r="BD27" s="161">
        <f t="shared" si="34"/>
        <v>0.11971613699475457</v>
      </c>
      <c r="BE27" s="161">
        <f t="shared" si="34"/>
        <v>0.11971613699475457</v>
      </c>
      <c r="BF27" s="161">
        <f t="shared" si="34"/>
        <v>0.11971613699475456</v>
      </c>
      <c r="BG27" s="162">
        <v>0.11971613699475456</v>
      </c>
      <c r="BH27" s="162">
        <v>0.11971613699475456</v>
      </c>
      <c r="BI27" s="162">
        <v>0.11971613699475456</v>
      </c>
      <c r="BJ27" s="162">
        <v>0.11971613699475456</v>
      </c>
      <c r="BK27" s="166">
        <v>0.11971613699475456</v>
      </c>
      <c r="BN27" s="144" t="s">
        <v>109</v>
      </c>
      <c r="BO27">
        <f t="shared" ref="BO27:CN27" si="35">AG27</f>
        <v>3.001274344849188E-2</v>
      </c>
      <c r="BP27">
        <f t="shared" si="35"/>
        <v>3.6135546692555323E-2</v>
      </c>
      <c r="BQ27">
        <f t="shared" si="35"/>
        <v>4.1803475238755834E-2</v>
      </c>
      <c r="BR27">
        <f t="shared" si="35"/>
        <v>4.706540384728379E-2</v>
      </c>
      <c r="BS27">
        <f t="shared" si="35"/>
        <v>5.1963447478907646E-2</v>
      </c>
      <c r="BT27">
        <f t="shared" si="35"/>
        <v>5.6534090909090756E-2</v>
      </c>
      <c r="BU27">
        <f t="shared" si="35"/>
        <v>6.8356330465908291E-2</v>
      </c>
      <c r="BV27">
        <f t="shared" si="35"/>
        <v>8.056566130735815E-2</v>
      </c>
      <c r="BW27">
        <f t="shared" si="35"/>
        <v>9.3181411441865883E-2</v>
      </c>
      <c r="BX27">
        <f t="shared" si="35"/>
        <v>0.10622421742295547</v>
      </c>
      <c r="BY27">
        <f t="shared" si="35"/>
        <v>0.11971613699475457</v>
      </c>
      <c r="BZ27">
        <f t="shared" si="35"/>
        <v>0.11971613699475457</v>
      </c>
      <c r="CA27">
        <f t="shared" si="35"/>
        <v>0.11971613699475457</v>
      </c>
      <c r="CB27">
        <f t="shared" si="35"/>
        <v>0.11971613699475457</v>
      </c>
      <c r="CC27">
        <f t="shared" si="35"/>
        <v>0.11971613699475456</v>
      </c>
      <c r="CD27">
        <f t="shared" si="35"/>
        <v>0.11971613699475456</v>
      </c>
      <c r="CE27">
        <f t="shared" si="35"/>
        <v>0.11971613699475457</v>
      </c>
      <c r="CF27">
        <f t="shared" si="35"/>
        <v>0.11971613699475459</v>
      </c>
      <c r="CG27">
        <f t="shared" si="35"/>
        <v>0.11971613699475457</v>
      </c>
      <c r="CH27">
        <f t="shared" si="35"/>
        <v>0.11971613699475457</v>
      </c>
      <c r="CI27">
        <f t="shared" si="35"/>
        <v>0.11971613699475456</v>
      </c>
      <c r="CJ27">
        <f t="shared" si="35"/>
        <v>0.11971613699475459</v>
      </c>
      <c r="CK27">
        <f t="shared" si="35"/>
        <v>0.11971613699475457</v>
      </c>
      <c r="CL27">
        <f t="shared" si="35"/>
        <v>0.11971613699475457</v>
      </c>
      <c r="CM27">
        <f t="shared" si="35"/>
        <v>0.11971613699475457</v>
      </c>
      <c r="CN27">
        <f t="shared" si="35"/>
        <v>0.11971613699475456</v>
      </c>
      <c r="CO27">
        <f t="shared" ref="CO27:CS27" si="36">BG27</f>
        <v>0.11971613699475456</v>
      </c>
      <c r="CP27">
        <f t="shared" si="36"/>
        <v>0.11971613699475456</v>
      </c>
      <c r="CQ27">
        <f t="shared" si="36"/>
        <v>0.11971613699475456</v>
      </c>
      <c r="CR27">
        <f t="shared" si="36"/>
        <v>0.11971613699475456</v>
      </c>
      <c r="CS27">
        <f t="shared" si="36"/>
        <v>0.11971613699475456</v>
      </c>
    </row>
    <row r="28" spans="1:97" x14ac:dyDescent="0.35">
      <c r="A28" s="142"/>
      <c r="B28" s="129"/>
      <c r="C28" s="153"/>
      <c r="D28" s="153"/>
      <c r="E28" s="153"/>
      <c r="F28" s="153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53"/>
      <c r="BH28" s="153"/>
      <c r="BI28" s="153"/>
      <c r="BJ28" s="153"/>
      <c r="BK28" s="164"/>
      <c r="BN28" s="144" t="s">
        <v>111</v>
      </c>
      <c r="BO28">
        <f t="shared" ref="BO28:CN28" si="37">AG37</f>
        <v>4.3647087577094491E-2</v>
      </c>
      <c r="BP28">
        <f t="shared" si="37"/>
        <v>4.4916982880222653E-2</v>
      </c>
      <c r="BQ28">
        <f t="shared" si="37"/>
        <v>4.6092535246087876E-2</v>
      </c>
      <c r="BR28">
        <f t="shared" si="37"/>
        <v>4.718388150678051E-2</v>
      </c>
      <c r="BS28">
        <f t="shared" si="37"/>
        <v>4.8199756483384856E-2</v>
      </c>
      <c r="BT28">
        <f t="shared" si="37"/>
        <v>4.914772727272728E-2</v>
      </c>
      <c r="BU28">
        <f t="shared" si="37"/>
        <v>5.8657121413313341E-2</v>
      </c>
      <c r="BV28">
        <f t="shared" si="37"/>
        <v>6.8477878183311858E-2</v>
      </c>
      <c r="BW28">
        <f t="shared" si="37"/>
        <v>7.8625544353636057E-2</v>
      </c>
      <c r="BX28">
        <f t="shared" si="37"/>
        <v>8.9116719242902293E-2</v>
      </c>
      <c r="BY28">
        <f t="shared" si="37"/>
        <v>9.99691453255169E-2</v>
      </c>
      <c r="BZ28">
        <f t="shared" si="37"/>
        <v>9.9969145325516887E-2</v>
      </c>
      <c r="CA28">
        <f t="shared" si="37"/>
        <v>9.99691453255169E-2</v>
      </c>
      <c r="CB28">
        <f t="shared" si="37"/>
        <v>9.9969145325516887E-2</v>
      </c>
      <c r="CC28">
        <f t="shared" si="37"/>
        <v>9.9969145325516887E-2</v>
      </c>
      <c r="CD28">
        <f t="shared" si="37"/>
        <v>9.9969145325516887E-2</v>
      </c>
      <c r="CE28">
        <f t="shared" si="37"/>
        <v>9.9969145325516873E-2</v>
      </c>
      <c r="CF28">
        <f t="shared" si="37"/>
        <v>9.9969145325516887E-2</v>
      </c>
      <c r="CG28">
        <f t="shared" si="37"/>
        <v>9.9969145325516887E-2</v>
      </c>
      <c r="CH28">
        <f t="shared" si="37"/>
        <v>9.9969145325516887E-2</v>
      </c>
      <c r="CI28">
        <f t="shared" si="37"/>
        <v>9.9969145325516887E-2</v>
      </c>
      <c r="CJ28">
        <f t="shared" si="37"/>
        <v>9.9969145325516887E-2</v>
      </c>
      <c r="CK28">
        <f t="shared" si="37"/>
        <v>9.9969145325516887E-2</v>
      </c>
      <c r="CL28">
        <f t="shared" si="37"/>
        <v>9.9969145325516887E-2</v>
      </c>
      <c r="CM28">
        <f t="shared" si="37"/>
        <v>9.9969145325516887E-2</v>
      </c>
      <c r="CN28">
        <f t="shared" si="37"/>
        <v>9.9969145325516887E-2</v>
      </c>
      <c r="CO28">
        <f t="shared" ref="CO28:CS28" si="38">BG37</f>
        <v>9.9969145325516887E-2</v>
      </c>
      <c r="CP28">
        <f t="shared" si="38"/>
        <v>9.9969145325516887E-2</v>
      </c>
      <c r="CQ28">
        <f t="shared" si="38"/>
        <v>9.9969145325516887E-2</v>
      </c>
      <c r="CR28">
        <f t="shared" si="38"/>
        <v>9.9969145325516887E-2</v>
      </c>
      <c r="CS28">
        <f t="shared" si="38"/>
        <v>9.9969145325516887E-2</v>
      </c>
    </row>
    <row r="29" spans="1:97" x14ac:dyDescent="0.35">
      <c r="A29" s="141" t="s">
        <v>15</v>
      </c>
      <c r="B29" s="132">
        <f>'Initial demand info'!F26</f>
        <v>11248.163840000001</v>
      </c>
      <c r="C29" s="153">
        <f t="shared" si="30"/>
        <v>12125.059439597833</v>
      </c>
      <c r="D29" s="153">
        <f t="shared" si="30"/>
        <v>13001.955039195665</v>
      </c>
      <c r="E29" s="153">
        <f t="shared" si="30"/>
        <v>13878.850638793498</v>
      </c>
      <c r="F29" s="153">
        <f t="shared" si="30"/>
        <v>14755.74623839133</v>
      </c>
      <c r="G29" s="133">
        <f>G$23*AL29</f>
        <v>15632.641837989164</v>
      </c>
      <c r="H29" s="133">
        <f t="shared" ref="H29:AF29" si="39">H$23*AM29</f>
        <v>19306.688929572119</v>
      </c>
      <c r="I29" s="133">
        <f t="shared" si="39"/>
        <v>22959.4592614465</v>
      </c>
      <c r="J29" s="133">
        <f t="shared" si="39"/>
        <v>26589.890455286459</v>
      </c>
      <c r="K29" s="133">
        <f t="shared" si="39"/>
        <v>30196.848207613792</v>
      </c>
      <c r="L29" s="133">
        <f t="shared" si="39"/>
        <v>33779.120098154104</v>
      </c>
      <c r="M29" s="133">
        <f t="shared" si="39"/>
        <v>33362.933040518008</v>
      </c>
      <c r="N29" s="133">
        <f t="shared" si="39"/>
        <v>32946.745982881919</v>
      </c>
      <c r="O29" s="133">
        <f t="shared" si="39"/>
        <v>32530.55892524583</v>
      </c>
      <c r="P29" s="133">
        <f t="shared" si="39"/>
        <v>32114.371867609741</v>
      </c>
      <c r="Q29" s="133">
        <f t="shared" si="39"/>
        <v>31698.18480997366</v>
      </c>
      <c r="R29" s="133">
        <f t="shared" si="39"/>
        <v>31173.780719127117</v>
      </c>
      <c r="S29" s="133">
        <f t="shared" si="39"/>
        <v>30649.376628280574</v>
      </c>
      <c r="T29" s="133">
        <f t="shared" si="39"/>
        <v>30124.972537434031</v>
      </c>
      <c r="U29" s="133">
        <f t="shared" si="39"/>
        <v>29600.568446587487</v>
      </c>
      <c r="V29" s="133">
        <f t="shared" si="39"/>
        <v>29076.16435574093</v>
      </c>
      <c r="W29" s="133">
        <f t="shared" si="39"/>
        <v>28636.498805069205</v>
      </c>
      <c r="X29" s="133">
        <f t="shared" si="39"/>
        <v>28196.833254397476</v>
      </c>
      <c r="Y29" s="133">
        <f t="shared" si="39"/>
        <v>27757.167703725743</v>
      </c>
      <c r="Z29" s="133">
        <f t="shared" si="39"/>
        <v>27317.502153054011</v>
      </c>
      <c r="AA29" s="133">
        <f t="shared" si="39"/>
        <v>26877.836602382275</v>
      </c>
      <c r="AB29" s="133">
        <f t="shared" si="39"/>
        <v>26673.135492126279</v>
      </c>
      <c r="AC29" s="133">
        <f t="shared" si="39"/>
        <v>26468.434381870287</v>
      </c>
      <c r="AD29" s="133">
        <f t="shared" si="39"/>
        <v>26263.733271614292</v>
      </c>
      <c r="AE29" s="133">
        <f t="shared" si="39"/>
        <v>26059.0321613583</v>
      </c>
      <c r="AF29" s="133">
        <f t="shared" si="39"/>
        <v>25854.331051102319</v>
      </c>
      <c r="AG29" s="161">
        <f>B29/B$23</f>
        <v>3.3377716489710378E-2</v>
      </c>
      <c r="AH29" s="161">
        <f t="shared" ref="AH29:AK29" si="40">C29/C$23</f>
        <v>3.459174461768344E-2</v>
      </c>
      <c r="AI29" s="161">
        <f t="shared" si="40"/>
        <v>3.5715580287088718E-2</v>
      </c>
      <c r="AJ29" s="161">
        <f t="shared" si="40"/>
        <v>3.6758914375005544E-2</v>
      </c>
      <c r="AK29" s="161">
        <f t="shared" si="40"/>
        <v>3.7730097426918269E-2</v>
      </c>
      <c r="AL29" s="133">
        <v>3.8636363636363712E-2</v>
      </c>
      <c r="AM29" s="133">
        <v>4.8611512037411299E-2</v>
      </c>
      <c r="AN29" s="133">
        <v>5.8913273090012971E-2</v>
      </c>
      <c r="AO29" s="133">
        <v>6.9557955019984546E-2</v>
      </c>
      <c r="AP29" s="133">
        <v>8.0562970152875571E-2</v>
      </c>
      <c r="AQ29" s="133">
        <v>9.1946929959888929E-2</v>
      </c>
      <c r="AR29" s="133">
        <v>9.1946929959888929E-2</v>
      </c>
      <c r="AS29" s="133">
        <v>9.1946929959888929E-2</v>
      </c>
      <c r="AT29" s="133">
        <v>9.1946929959888929E-2</v>
      </c>
      <c r="AU29" s="133">
        <v>9.1946929959888929E-2</v>
      </c>
      <c r="AV29" s="133">
        <v>9.1946929959888929E-2</v>
      </c>
      <c r="AW29" s="133">
        <v>9.1946929959888929E-2</v>
      </c>
      <c r="AX29" s="133">
        <v>9.1946929959888929E-2</v>
      </c>
      <c r="AY29" s="133">
        <v>9.1946929959888929E-2</v>
      </c>
      <c r="AZ29" s="133">
        <v>9.1946929959888929E-2</v>
      </c>
      <c r="BA29" s="133">
        <v>9.1946929959888901E-2</v>
      </c>
      <c r="BB29" s="133">
        <v>9.1946929959888929E-2</v>
      </c>
      <c r="BC29" s="133">
        <v>9.1946929959888929E-2</v>
      </c>
      <c r="BD29" s="133">
        <v>9.1946929959888929E-2</v>
      </c>
      <c r="BE29" s="133">
        <v>9.1946929959888929E-2</v>
      </c>
      <c r="BF29" s="133">
        <v>9.1946929959888929E-2</v>
      </c>
      <c r="BG29" s="60">
        <v>9.1946929959888929E-2</v>
      </c>
      <c r="BH29" s="60">
        <v>9.1946929959888929E-2</v>
      </c>
      <c r="BI29" s="60">
        <v>9.1946929959888929E-2</v>
      </c>
      <c r="BJ29" s="60">
        <v>9.1946929959888929E-2</v>
      </c>
      <c r="BK29" s="165">
        <v>9.1946929959888929E-2</v>
      </c>
      <c r="BN29" s="144" t="s">
        <v>114</v>
      </c>
      <c r="BO29">
        <f t="shared" ref="BO29:CN29" si="41">AG43</f>
        <v>0.8929624524847033</v>
      </c>
      <c r="BP29">
        <f t="shared" si="41"/>
        <v>0.88339816820283423</v>
      </c>
      <c r="BQ29">
        <f t="shared" si="41"/>
        <v>0.87454443279042438</v>
      </c>
      <c r="BR29">
        <f t="shared" si="41"/>
        <v>0.86632490015532682</v>
      </c>
      <c r="BS29">
        <f t="shared" si="41"/>
        <v>0.85867378352614709</v>
      </c>
      <c r="BT29">
        <f t="shared" si="41"/>
        <v>0.85153409090909082</v>
      </c>
      <c r="BU29">
        <f t="shared" si="41"/>
        <v>0.81906783672998074</v>
      </c>
      <c r="BV29">
        <f t="shared" si="41"/>
        <v>0.7855712944490082</v>
      </c>
      <c r="BW29">
        <f t="shared" si="41"/>
        <v>0.75099302034242077</v>
      </c>
      <c r="BX29">
        <f t="shared" si="41"/>
        <v>0.71527808784275648</v>
      </c>
      <c r="BY29">
        <f t="shared" si="41"/>
        <v>0.67836778771983952</v>
      </c>
      <c r="BZ29">
        <f t="shared" si="41"/>
        <v>0.67836778771983952</v>
      </c>
      <c r="CA29">
        <f t="shared" si="41"/>
        <v>0.67836778771983952</v>
      </c>
      <c r="CB29">
        <f t="shared" si="41"/>
        <v>0.67836778771983952</v>
      </c>
      <c r="CC29">
        <f t="shared" si="41"/>
        <v>0.67836778771983952</v>
      </c>
      <c r="CD29">
        <f t="shared" si="41"/>
        <v>0.67784879146640553</v>
      </c>
      <c r="CE29">
        <f t="shared" si="41"/>
        <v>0.6345597188213935</v>
      </c>
      <c r="CF29">
        <f t="shared" si="41"/>
        <v>0.5892525570819378</v>
      </c>
      <c r="CG29">
        <f t="shared" si="41"/>
        <v>0.54236801558346037</v>
      </c>
      <c r="CH29">
        <f t="shared" si="41"/>
        <v>0.49382225967934529</v>
      </c>
      <c r="CI29">
        <f t="shared" si="41"/>
        <v>0.44352540671319102</v>
      </c>
      <c r="CJ29">
        <f t="shared" si="41"/>
        <v>0.39070259155297116</v>
      </c>
      <c r="CK29">
        <f t="shared" si="41"/>
        <v>0.33623247281749413</v>
      </c>
      <c r="CL29">
        <f t="shared" si="41"/>
        <v>0.28003677206265476</v>
      </c>
      <c r="CM29">
        <f t="shared" si="41"/>
        <v>0.22203217138868439</v>
      </c>
      <c r="CN29">
        <f t="shared" si="41"/>
        <v>0.16212990126504168</v>
      </c>
      <c r="CO29">
        <f t="shared" ref="CO29:CS29" si="42">BG43</f>
        <v>0.16212990126504168</v>
      </c>
      <c r="CP29">
        <f t="shared" si="42"/>
        <v>0.16212990126504168</v>
      </c>
      <c r="CQ29">
        <f t="shared" si="42"/>
        <v>0.16212990126504168</v>
      </c>
      <c r="CR29">
        <f t="shared" si="42"/>
        <v>0.16212990126504168</v>
      </c>
      <c r="CS29">
        <f t="shared" si="42"/>
        <v>0.16212990126504168</v>
      </c>
    </row>
    <row r="30" spans="1:97" x14ac:dyDescent="0.35">
      <c r="A30" s="142"/>
      <c r="B30" s="129"/>
      <c r="C30" s="153"/>
      <c r="D30" s="153"/>
      <c r="E30" s="153"/>
      <c r="F30" s="153"/>
      <c r="G30" s="128"/>
      <c r="H30" s="128"/>
      <c r="I30" s="128"/>
      <c r="J30" s="128"/>
      <c r="K30" s="128"/>
      <c r="L30" s="128"/>
      <c r="M30" s="128"/>
      <c r="N30" s="128"/>
      <c r="O30" s="128"/>
      <c r="P30" s="128" t="s">
        <v>115</v>
      </c>
      <c r="Q30" s="128">
        <f>Q29*0.761</f>
        <v>24122.318640389956</v>
      </c>
      <c r="R30" s="128">
        <f>R29*0.761</f>
        <v>23723.247127255738</v>
      </c>
      <c r="S30" s="128">
        <f t="shared" ref="S30:AA30" si="43">S29*0.761</f>
        <v>23324.175614121516</v>
      </c>
      <c r="T30" s="128">
        <f t="shared" si="43"/>
        <v>22925.104100987297</v>
      </c>
      <c r="U30" s="128">
        <f t="shared" si="43"/>
        <v>22526.032587853078</v>
      </c>
      <c r="V30" s="128">
        <f t="shared" si="43"/>
        <v>22126.961074718849</v>
      </c>
      <c r="W30" s="128">
        <f t="shared" si="43"/>
        <v>21792.375590657666</v>
      </c>
      <c r="X30" s="128">
        <f t="shared" si="43"/>
        <v>21457.79010659648</v>
      </c>
      <c r="Y30" s="128">
        <f t="shared" si="43"/>
        <v>21123.20462253529</v>
      </c>
      <c r="Z30" s="128">
        <f t="shared" si="43"/>
        <v>20788.619138474103</v>
      </c>
      <c r="AA30" s="128">
        <f t="shared" si="43"/>
        <v>20454.03365441291</v>
      </c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53"/>
      <c r="BH30" s="153"/>
      <c r="BI30" s="153"/>
      <c r="BJ30" s="153"/>
      <c r="BK30" s="164"/>
      <c r="BN30" s="144" t="s">
        <v>110</v>
      </c>
      <c r="BO30">
        <f t="shared" ref="BO30:CN30" si="44">AG33</f>
        <v>3.3377716489710378E-2</v>
      </c>
      <c r="BP30">
        <f t="shared" si="44"/>
        <v>3.459174461768344E-2</v>
      </c>
      <c r="BQ30">
        <f t="shared" si="44"/>
        <v>3.5715580287088718E-2</v>
      </c>
      <c r="BR30">
        <f t="shared" si="44"/>
        <v>3.6758914375005544E-2</v>
      </c>
      <c r="BS30">
        <f t="shared" si="44"/>
        <v>3.7730097426918269E-2</v>
      </c>
      <c r="BT30">
        <f t="shared" si="44"/>
        <v>3.8636363636363712E-2</v>
      </c>
      <c r="BU30">
        <f t="shared" si="44"/>
        <v>4.8611512037411299E-2</v>
      </c>
      <c r="BV30">
        <f t="shared" si="44"/>
        <v>5.8913273090012971E-2</v>
      </c>
      <c r="BW30">
        <f t="shared" si="44"/>
        <v>6.9557955019984546E-2</v>
      </c>
      <c r="BX30">
        <f t="shared" si="44"/>
        <v>8.0562970152875571E-2</v>
      </c>
      <c r="BY30">
        <f t="shared" si="44"/>
        <v>9.1946929959888929E-2</v>
      </c>
      <c r="BZ30">
        <f t="shared" si="44"/>
        <v>9.1946929959888915E-2</v>
      </c>
      <c r="CA30">
        <f t="shared" si="44"/>
        <v>9.1946929959888929E-2</v>
      </c>
      <c r="CB30">
        <f t="shared" si="44"/>
        <v>9.1946929959888929E-2</v>
      </c>
      <c r="CC30">
        <f t="shared" si="44"/>
        <v>9.1946929959888929E-2</v>
      </c>
      <c r="CD30">
        <f t="shared" si="44"/>
        <v>9.1876584473225512E-2</v>
      </c>
      <c r="CE30">
        <f t="shared" si="44"/>
        <v>8.6009122305102478E-2</v>
      </c>
      <c r="CF30">
        <f t="shared" si="44"/>
        <v>7.9868125485159799E-2</v>
      </c>
      <c r="CG30">
        <f t="shared" si="44"/>
        <v>7.3513328380403448E-2</v>
      </c>
      <c r="CH30">
        <f t="shared" si="44"/>
        <v>6.6933367924190024E-2</v>
      </c>
      <c r="CI30">
        <f t="shared" si="44"/>
        <v>6.0116061294070718E-2</v>
      </c>
      <c r="CJ30">
        <f t="shared" si="44"/>
        <v>5.2956382173477284E-2</v>
      </c>
      <c r="CK30">
        <f t="shared" si="44"/>
        <v>4.5573425195062869E-2</v>
      </c>
      <c r="CL30">
        <f t="shared" si="44"/>
        <v>3.7956580387735389E-2</v>
      </c>
      <c r="CM30">
        <f t="shared" si="44"/>
        <v>3.0094554725450379E-2</v>
      </c>
      <c r="CN30">
        <f t="shared" si="44"/>
        <v>2.197531626041346E-2</v>
      </c>
      <c r="CO30">
        <f t="shared" ref="CO30:CS30" si="45">BG33</f>
        <v>2.197531626041346E-2</v>
      </c>
      <c r="CP30">
        <f t="shared" si="45"/>
        <v>2.197531626041346E-2</v>
      </c>
      <c r="CQ30">
        <f t="shared" si="45"/>
        <v>2.197531626041346E-2</v>
      </c>
      <c r="CR30">
        <f t="shared" si="45"/>
        <v>2.197531626041346E-2</v>
      </c>
      <c r="CS30">
        <f t="shared" si="45"/>
        <v>2.197531626041346E-2</v>
      </c>
    </row>
    <row r="31" spans="1:97" ht="15" thickBot="1" x14ac:dyDescent="0.4">
      <c r="A31" s="141"/>
      <c r="B31" s="134"/>
      <c r="C31" s="153"/>
      <c r="D31" s="153"/>
      <c r="E31" s="153"/>
      <c r="F31" s="153"/>
      <c r="G31" s="133"/>
      <c r="H31" s="133"/>
      <c r="I31" s="133"/>
      <c r="J31" s="133"/>
      <c r="K31" s="133"/>
      <c r="L31" s="133"/>
      <c r="M31" s="133"/>
      <c r="N31" s="133"/>
      <c r="O31" s="133"/>
      <c r="P31" s="133" t="s">
        <v>116</v>
      </c>
      <c r="Q31" s="133">
        <f>Q29*0.761</f>
        <v>24122.318640389956</v>
      </c>
      <c r="R31" s="133">
        <f>Q31+($AA$31-$Q$31)/10</f>
        <v>21710.08677635096</v>
      </c>
      <c r="S31" s="133">
        <f t="shared" ref="S31:Z31" si="46">R31+($AA$31-$Q$31)/10</f>
        <v>19297.854912311963</v>
      </c>
      <c r="T31" s="133">
        <f t="shared" si="46"/>
        <v>16885.623048272966</v>
      </c>
      <c r="U31" s="133">
        <f t="shared" si="46"/>
        <v>14473.391184233969</v>
      </c>
      <c r="V31" s="133">
        <f t="shared" si="46"/>
        <v>12061.159320194973</v>
      </c>
      <c r="W31" s="133">
        <f t="shared" si="46"/>
        <v>9648.927456155976</v>
      </c>
      <c r="X31" s="133">
        <f t="shared" si="46"/>
        <v>7236.6955921169802</v>
      </c>
      <c r="Y31" s="133">
        <f t="shared" si="46"/>
        <v>4824.4637280779843</v>
      </c>
      <c r="Z31" s="133">
        <f t="shared" si="46"/>
        <v>2412.2318640389885</v>
      </c>
      <c r="AA31" s="133">
        <v>0</v>
      </c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60"/>
      <c r="BH31" s="60"/>
      <c r="BI31" s="60"/>
      <c r="BJ31" s="60"/>
      <c r="BK31" s="165"/>
      <c r="BN31" s="155" t="s">
        <v>112</v>
      </c>
      <c r="BO31">
        <f t="shared" ref="BO31:CN31" si="47">AG47</f>
        <v>0</v>
      </c>
      <c r="BP31">
        <f t="shared" si="47"/>
        <v>1.154316019040833E-3</v>
      </c>
      <c r="BQ31">
        <f t="shared" si="47"/>
        <v>2.2228757056519674E-3</v>
      </c>
      <c r="BR31">
        <f t="shared" si="47"/>
        <v>3.2148932900422926E-3</v>
      </c>
      <c r="BS31">
        <f t="shared" si="47"/>
        <v>4.1383085951847967E-3</v>
      </c>
      <c r="BT31">
        <f t="shared" si="47"/>
        <v>5.0000000000000001E-3</v>
      </c>
      <c r="BU31">
        <f t="shared" si="47"/>
        <v>6.0000000000000001E-3</v>
      </c>
      <c r="BV31">
        <f t="shared" si="47"/>
        <v>7.000000000000001E-3</v>
      </c>
      <c r="BW31">
        <f t="shared" si="47"/>
        <v>8.0000000000000002E-3</v>
      </c>
      <c r="BX31">
        <f t="shared" si="47"/>
        <v>9.0000000000000011E-3</v>
      </c>
      <c r="BY31">
        <f t="shared" si="47"/>
        <v>1.0000000000000002E-2</v>
      </c>
      <c r="BZ31">
        <f t="shared" si="47"/>
        <v>1.0000000000000002E-2</v>
      </c>
      <c r="CA31">
        <f t="shared" si="47"/>
        <v>1.0000000000000002E-2</v>
      </c>
      <c r="CB31">
        <f t="shared" si="47"/>
        <v>1.0000000000000002E-2</v>
      </c>
      <c r="CC31">
        <f t="shared" si="47"/>
        <v>1.0000000000000002E-2</v>
      </c>
      <c r="CD31">
        <f t="shared" si="47"/>
        <v>9.9923493381786563E-3</v>
      </c>
      <c r="CE31">
        <f t="shared" si="47"/>
        <v>5.974587655323247E-2</v>
      </c>
      <c r="CF31">
        <f t="shared" si="47"/>
        <v>0.11119403511263087</v>
      </c>
      <c r="CG31">
        <f t="shared" si="47"/>
        <v>0.16443337371586461</v>
      </c>
      <c r="CH31">
        <f t="shared" si="47"/>
        <v>0.21955909007619312</v>
      </c>
      <c r="CI31">
        <f t="shared" si="47"/>
        <v>0.2766732496724667</v>
      </c>
      <c r="CJ31">
        <f t="shared" si="47"/>
        <v>0.33665574395328002</v>
      </c>
      <c r="CK31">
        <f t="shared" si="47"/>
        <v>0.39850881966717144</v>
      </c>
      <c r="CL31">
        <f t="shared" si="47"/>
        <v>0.46232136522933837</v>
      </c>
      <c r="CM31">
        <f t="shared" si="47"/>
        <v>0.5281879915655936</v>
      </c>
      <c r="CN31">
        <f t="shared" si="47"/>
        <v>0.59620950015427343</v>
      </c>
      <c r="CO31">
        <f t="shared" ref="CO31:CS31" si="48">BG47</f>
        <v>0.59620950015427343</v>
      </c>
      <c r="CP31">
        <f t="shared" si="48"/>
        <v>0.59620950015427343</v>
      </c>
      <c r="CQ31">
        <f t="shared" si="48"/>
        <v>0.59620950015427343</v>
      </c>
      <c r="CR31">
        <f t="shared" si="48"/>
        <v>0.59620950015427343</v>
      </c>
      <c r="CS31">
        <f t="shared" si="48"/>
        <v>0.59620950015427343</v>
      </c>
    </row>
    <row r="32" spans="1:97" x14ac:dyDescent="0.35">
      <c r="A32" s="142"/>
      <c r="B32" s="129"/>
      <c r="C32" s="153"/>
      <c r="D32" s="153"/>
      <c r="E32" s="153"/>
      <c r="F32" s="153"/>
      <c r="G32" s="128"/>
      <c r="H32" s="128"/>
      <c r="I32" s="128"/>
      <c r="J32" s="128"/>
      <c r="K32" s="128"/>
      <c r="L32" s="128"/>
      <c r="M32" s="128"/>
      <c r="N32" s="128"/>
      <c r="O32" s="128"/>
      <c r="P32" s="128" t="s">
        <v>108</v>
      </c>
      <c r="Q32" s="128">
        <f>Q30-Q31</f>
        <v>0</v>
      </c>
      <c r="R32" s="128">
        <f>R30-R31</f>
        <v>2013.1603509047782</v>
      </c>
      <c r="S32" s="128">
        <f t="shared" ref="S32:AA32" si="49">S30-S31</f>
        <v>4026.3207018095527</v>
      </c>
      <c r="T32" s="128">
        <f t="shared" si="49"/>
        <v>6039.4810527143309</v>
      </c>
      <c r="U32" s="128">
        <f t="shared" si="49"/>
        <v>8052.641403619109</v>
      </c>
      <c r="V32" s="128">
        <f t="shared" si="49"/>
        <v>10065.801754523876</v>
      </c>
      <c r="W32" s="128">
        <f t="shared" si="49"/>
        <v>12143.44813450169</v>
      </c>
      <c r="X32" s="128">
        <f t="shared" si="49"/>
        <v>14221.094514479501</v>
      </c>
      <c r="Y32" s="128">
        <f t="shared" si="49"/>
        <v>16298.740894457305</v>
      </c>
      <c r="Z32" s="128">
        <f t="shared" si="49"/>
        <v>18376.387274435114</v>
      </c>
      <c r="AA32" s="128">
        <f t="shared" si="49"/>
        <v>20454.03365441291</v>
      </c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53"/>
      <c r="BH32" s="153"/>
      <c r="BI32" s="153"/>
      <c r="BJ32" s="153"/>
      <c r="BK32" s="164"/>
    </row>
    <row r="33" spans="1:97" x14ac:dyDescent="0.35">
      <c r="A33" s="144" t="s">
        <v>110</v>
      </c>
      <c r="B33" s="151">
        <f>B29</f>
        <v>11248.163840000001</v>
      </c>
      <c r="C33" s="153">
        <f t="shared" si="30"/>
        <v>12125.059439597833</v>
      </c>
      <c r="D33" s="153">
        <f t="shared" si="30"/>
        <v>13001.955039195665</v>
      </c>
      <c r="E33" s="153">
        <f t="shared" si="30"/>
        <v>13878.850638793498</v>
      </c>
      <c r="F33" s="153">
        <f t="shared" si="30"/>
        <v>14755.74623839133</v>
      </c>
      <c r="G33" s="145">
        <f>G29</f>
        <v>15632.641837989164</v>
      </c>
      <c r="H33" s="145">
        <f t="shared" ref="H33:P33" si="50">H29</f>
        <v>19306.688929572119</v>
      </c>
      <c r="I33" s="145">
        <f t="shared" si="50"/>
        <v>22959.4592614465</v>
      </c>
      <c r="J33" s="145">
        <f t="shared" si="50"/>
        <v>26589.890455286459</v>
      </c>
      <c r="K33" s="145">
        <f t="shared" si="50"/>
        <v>30196.848207613792</v>
      </c>
      <c r="L33" s="145">
        <f t="shared" si="50"/>
        <v>33779.120098154104</v>
      </c>
      <c r="M33" s="145">
        <f t="shared" si="50"/>
        <v>33362.933040518008</v>
      </c>
      <c r="N33" s="145">
        <f t="shared" si="50"/>
        <v>32946.745982881919</v>
      </c>
      <c r="O33" s="145">
        <f t="shared" si="50"/>
        <v>32530.55892524583</v>
      </c>
      <c r="P33" s="145">
        <f t="shared" si="50"/>
        <v>32114.371867609741</v>
      </c>
      <c r="Q33" s="145">
        <v>31673.933600740496</v>
      </c>
      <c r="R33" s="145">
        <f>R29-R32</f>
        <v>29160.620368222339</v>
      </c>
      <c r="S33" s="145">
        <f t="shared" ref="S33:AA33" si="51">S29-S32</f>
        <v>26623.055926471021</v>
      </c>
      <c r="T33" s="145">
        <f t="shared" si="51"/>
        <v>24085.4914847197</v>
      </c>
      <c r="U33" s="145">
        <f t="shared" si="51"/>
        <v>21547.927042968378</v>
      </c>
      <c r="V33" s="145">
        <f t="shared" si="51"/>
        <v>19010.362601217053</v>
      </c>
      <c r="W33" s="145">
        <f t="shared" si="51"/>
        <v>16493.050670567514</v>
      </c>
      <c r="X33" s="145">
        <f t="shared" si="51"/>
        <v>13975.738739917975</v>
      </c>
      <c r="Y33" s="145">
        <f t="shared" si="51"/>
        <v>11458.426809268438</v>
      </c>
      <c r="Z33" s="145">
        <f t="shared" si="51"/>
        <v>8941.1148786188969</v>
      </c>
      <c r="AA33" s="145">
        <f t="shared" si="51"/>
        <v>6423.8029479693651</v>
      </c>
      <c r="AB33" s="145">
        <f t="shared" ref="AB33" si="52">AB$23*BG33</f>
        <v>6374.8793826181827</v>
      </c>
      <c r="AC33" s="145">
        <f t="shared" ref="AC33" si="53">AC$23*BH33</f>
        <v>6325.9558172670004</v>
      </c>
      <c r="AD33" s="145">
        <f t="shared" ref="AD33" si="54">AD$23*BI33</f>
        <v>6277.0322519158181</v>
      </c>
      <c r="AE33" s="145">
        <f t="shared" ref="AE33" si="55">AE$23*BJ33</f>
        <v>6228.1086865646357</v>
      </c>
      <c r="AF33" s="145">
        <f t="shared" ref="AF33" si="56">AF$23*BK33</f>
        <v>6179.1851212134552</v>
      </c>
      <c r="AG33" s="161">
        <f>B33/B$23</f>
        <v>3.3377716489710378E-2</v>
      </c>
      <c r="AH33" s="161">
        <f t="shared" ref="AH33:BF33" si="57">C33/C$23</f>
        <v>3.459174461768344E-2</v>
      </c>
      <c r="AI33" s="161">
        <f t="shared" si="57"/>
        <v>3.5715580287088718E-2</v>
      </c>
      <c r="AJ33" s="161">
        <f t="shared" si="57"/>
        <v>3.6758914375005544E-2</v>
      </c>
      <c r="AK33" s="161">
        <f t="shared" si="57"/>
        <v>3.7730097426918269E-2</v>
      </c>
      <c r="AL33" s="161">
        <f t="shared" si="57"/>
        <v>3.8636363636363712E-2</v>
      </c>
      <c r="AM33" s="161">
        <f t="shared" si="57"/>
        <v>4.8611512037411299E-2</v>
      </c>
      <c r="AN33" s="161">
        <f t="shared" si="57"/>
        <v>5.8913273090012971E-2</v>
      </c>
      <c r="AO33" s="161">
        <f t="shared" si="57"/>
        <v>6.9557955019984546E-2</v>
      </c>
      <c r="AP33" s="161">
        <f t="shared" si="57"/>
        <v>8.0562970152875571E-2</v>
      </c>
      <c r="AQ33" s="161">
        <f t="shared" si="57"/>
        <v>9.1946929959888929E-2</v>
      </c>
      <c r="AR33" s="161">
        <f t="shared" si="57"/>
        <v>9.1946929959888915E-2</v>
      </c>
      <c r="AS33" s="161">
        <f t="shared" si="57"/>
        <v>9.1946929959888929E-2</v>
      </c>
      <c r="AT33" s="161">
        <f t="shared" si="57"/>
        <v>9.1946929959888929E-2</v>
      </c>
      <c r="AU33" s="161">
        <f t="shared" si="57"/>
        <v>9.1946929959888929E-2</v>
      </c>
      <c r="AV33" s="161">
        <f t="shared" si="57"/>
        <v>9.1876584473225512E-2</v>
      </c>
      <c r="AW33" s="161">
        <f t="shared" si="57"/>
        <v>8.6009122305102478E-2</v>
      </c>
      <c r="AX33" s="161">
        <f t="shared" si="57"/>
        <v>7.9868125485159799E-2</v>
      </c>
      <c r="AY33" s="161">
        <f t="shared" si="57"/>
        <v>7.3513328380403448E-2</v>
      </c>
      <c r="AZ33" s="161">
        <f t="shared" si="57"/>
        <v>6.6933367924190024E-2</v>
      </c>
      <c r="BA33" s="161">
        <f t="shared" si="57"/>
        <v>6.0116061294070718E-2</v>
      </c>
      <c r="BB33" s="161">
        <f t="shared" si="57"/>
        <v>5.2956382173477284E-2</v>
      </c>
      <c r="BC33" s="161">
        <f t="shared" si="57"/>
        <v>4.5573425195062869E-2</v>
      </c>
      <c r="BD33" s="161">
        <f t="shared" si="57"/>
        <v>3.7956580387735389E-2</v>
      </c>
      <c r="BE33" s="161">
        <f t="shared" si="57"/>
        <v>3.0094554725450379E-2</v>
      </c>
      <c r="BF33" s="161">
        <f t="shared" si="57"/>
        <v>2.197531626041346E-2</v>
      </c>
      <c r="BG33" s="162">
        <v>2.197531626041346E-2</v>
      </c>
      <c r="BH33" s="162">
        <v>2.197531626041346E-2</v>
      </c>
      <c r="BI33" s="162">
        <v>2.197531626041346E-2</v>
      </c>
      <c r="BJ33" s="162">
        <v>2.197531626041346E-2</v>
      </c>
      <c r="BK33" s="166">
        <v>2.197531626041346E-2</v>
      </c>
      <c r="BN33" t="s">
        <v>109</v>
      </c>
      <c r="BO33">
        <v>3.001274344849188E-2</v>
      </c>
      <c r="BP33">
        <v>3.6135546692555323E-2</v>
      </c>
      <c r="BQ33">
        <v>4.1803475238755834E-2</v>
      </c>
      <c r="BR33">
        <v>4.706540384728379E-2</v>
      </c>
      <c r="BS33">
        <v>5.1963447478907646E-2</v>
      </c>
      <c r="BT33">
        <v>5.6534090909090756E-2</v>
      </c>
      <c r="BU33">
        <v>6.8356330465908291E-2</v>
      </c>
      <c r="BV33">
        <v>8.056566130735815E-2</v>
      </c>
      <c r="BW33">
        <v>9.3181411441865883E-2</v>
      </c>
      <c r="BX33">
        <v>0.10622421742295547</v>
      </c>
      <c r="BY33">
        <v>0.11971613699475457</v>
      </c>
      <c r="BZ33">
        <v>0.11971613699475457</v>
      </c>
      <c r="CA33">
        <v>0.11971613699475457</v>
      </c>
      <c r="CB33">
        <v>0.11971613699475457</v>
      </c>
      <c r="CC33">
        <v>0.11971613699475456</v>
      </c>
      <c r="CD33">
        <v>0.11971613699475456</v>
      </c>
      <c r="CE33">
        <v>0.11971613699475457</v>
      </c>
      <c r="CF33">
        <v>0.11971613699475459</v>
      </c>
      <c r="CG33">
        <v>0.11971613699475457</v>
      </c>
      <c r="CH33">
        <v>0.11971613699475457</v>
      </c>
      <c r="CI33">
        <v>0.11971613699475456</v>
      </c>
      <c r="CJ33">
        <v>0.11971613699475459</v>
      </c>
      <c r="CK33">
        <v>0.11971613699475457</v>
      </c>
      <c r="CL33">
        <v>0.11971613699475457</v>
      </c>
      <c r="CM33">
        <v>0.11971613699475457</v>
      </c>
      <c r="CN33">
        <v>0.11971613699475456</v>
      </c>
      <c r="CO33">
        <v>0.11971613699475456</v>
      </c>
      <c r="CP33">
        <v>0.11971613699475456</v>
      </c>
      <c r="CQ33">
        <v>0.11971613699475456</v>
      </c>
      <c r="CR33">
        <v>0.11971613699475456</v>
      </c>
      <c r="CS33">
        <v>0.11971613699475456</v>
      </c>
    </row>
    <row r="34" spans="1:97" x14ac:dyDescent="0.35">
      <c r="A34" s="142"/>
      <c r="B34" s="129"/>
      <c r="C34" s="153"/>
      <c r="D34" s="153"/>
      <c r="E34" s="153"/>
      <c r="F34" s="153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53"/>
      <c r="BH34" s="153"/>
      <c r="BI34" s="153"/>
      <c r="BJ34" s="153"/>
      <c r="BK34" s="164"/>
      <c r="BN34" t="s">
        <v>111</v>
      </c>
      <c r="BO34">
        <v>4.3647087577094491E-2</v>
      </c>
      <c r="BP34">
        <v>4.4916982880222653E-2</v>
      </c>
      <c r="BQ34">
        <v>4.6092535246087876E-2</v>
      </c>
      <c r="BR34">
        <v>4.718388150678051E-2</v>
      </c>
      <c r="BS34">
        <v>4.8199756483384856E-2</v>
      </c>
      <c r="BT34">
        <v>4.914772727272728E-2</v>
      </c>
      <c r="BU34">
        <v>5.8657121413313341E-2</v>
      </c>
      <c r="BV34">
        <v>6.8477878183311858E-2</v>
      </c>
      <c r="BW34">
        <v>7.8625544353636057E-2</v>
      </c>
      <c r="BX34">
        <v>8.9116719242902293E-2</v>
      </c>
      <c r="BY34">
        <v>9.99691453255169E-2</v>
      </c>
      <c r="BZ34">
        <v>9.9969145325516887E-2</v>
      </c>
      <c r="CA34">
        <v>9.99691453255169E-2</v>
      </c>
      <c r="CB34">
        <v>9.9969145325516887E-2</v>
      </c>
      <c r="CC34">
        <v>9.9969145325516887E-2</v>
      </c>
      <c r="CD34">
        <v>9.9969145325516887E-2</v>
      </c>
      <c r="CE34">
        <v>9.9969145325516873E-2</v>
      </c>
      <c r="CF34">
        <v>9.9969145325516887E-2</v>
      </c>
      <c r="CG34">
        <v>9.9969145325516887E-2</v>
      </c>
      <c r="CH34">
        <v>9.9969145325516887E-2</v>
      </c>
      <c r="CI34">
        <v>9.9969145325516887E-2</v>
      </c>
      <c r="CJ34">
        <v>9.9969145325516887E-2</v>
      </c>
      <c r="CK34">
        <v>9.9969145325516887E-2</v>
      </c>
      <c r="CL34">
        <v>9.9969145325516887E-2</v>
      </c>
      <c r="CM34">
        <v>9.9969145325516887E-2</v>
      </c>
      <c r="CN34">
        <v>9.9969145325516887E-2</v>
      </c>
      <c r="CO34">
        <v>9.9969145325516887E-2</v>
      </c>
      <c r="CP34">
        <v>9.9969145325516887E-2</v>
      </c>
      <c r="CQ34">
        <v>9.9969145325516887E-2</v>
      </c>
      <c r="CR34">
        <v>9.9969145325516887E-2</v>
      </c>
      <c r="CS34">
        <v>9.9969145325516887E-2</v>
      </c>
    </row>
    <row r="35" spans="1:97" x14ac:dyDescent="0.35">
      <c r="A35" s="141" t="s">
        <v>83</v>
      </c>
      <c r="B35" s="132">
        <f>'Initial demand info'!F27</f>
        <v>14708.902940000002</v>
      </c>
      <c r="C35" s="153">
        <f t="shared" si="30"/>
        <v>15744.250349017826</v>
      </c>
      <c r="D35" s="153">
        <f t="shared" si="30"/>
        <v>16779.597758035648</v>
      </c>
      <c r="E35" s="153">
        <f t="shared" si="30"/>
        <v>17814.945167053473</v>
      </c>
      <c r="F35" s="153">
        <f t="shared" si="30"/>
        <v>18850.292576071297</v>
      </c>
      <c r="G35" s="133">
        <f>G$23*AL35</f>
        <v>19885.639985089121</v>
      </c>
      <c r="H35" s="133">
        <f t="shared" ref="H35:P35" si="58">H$23*AM35</f>
        <v>23296.432247559685</v>
      </c>
      <c r="I35" s="133">
        <f t="shared" si="58"/>
        <v>26686.941193334715</v>
      </c>
      <c r="J35" s="133">
        <f t="shared" si="58"/>
        <v>30056.154048085384</v>
      </c>
      <c r="K35" s="133">
        <f t="shared" si="58"/>
        <v>33402.989470620989</v>
      </c>
      <c r="L35" s="133">
        <f t="shared" si="58"/>
        <v>36726.291650342071</v>
      </c>
      <c r="M35" s="133">
        <f t="shared" si="58"/>
        <v>36273.79297022766</v>
      </c>
      <c r="N35" s="133">
        <f t="shared" si="58"/>
        <v>35821.294290113256</v>
      </c>
      <c r="O35" s="133">
        <f t="shared" si="58"/>
        <v>35368.795609998844</v>
      </c>
      <c r="P35" s="133">
        <f t="shared" si="58"/>
        <v>34916.29692988444</v>
      </c>
      <c r="Q35" s="133">
        <f t="shared" ref="Q35" si="59">Q$23*AV35</f>
        <v>34463.798249770043</v>
      </c>
      <c r="R35" s="133">
        <f t="shared" ref="R35" si="60">R$23*AW35</f>
        <v>33893.64078186977</v>
      </c>
      <c r="S35" s="133">
        <f t="shared" ref="S35" si="61">S$23*AX35</f>
        <v>33323.483313969504</v>
      </c>
      <c r="T35" s="133">
        <f t="shared" ref="T35" si="62">T$23*AY35</f>
        <v>32753.325846069234</v>
      </c>
      <c r="U35" s="133">
        <f t="shared" ref="U35" si="63">U$23*AZ35</f>
        <v>32183.168378168964</v>
      </c>
      <c r="V35" s="133">
        <f t="shared" ref="V35" si="64">V$23*BA35</f>
        <v>31613.010910268691</v>
      </c>
      <c r="W35" s="133">
        <f t="shared" ref="W35" si="65">W$23*BB35</f>
        <v>31134.985277994729</v>
      </c>
      <c r="X35" s="133">
        <f t="shared" ref="X35" si="66">X$23*BC35</f>
        <v>30656.959645720763</v>
      </c>
      <c r="Y35" s="133">
        <f t="shared" ref="Y35" si="67">Y$23*BD35</f>
        <v>30178.9340134468</v>
      </c>
      <c r="Z35" s="133">
        <f t="shared" ref="Z35" si="68">Z$23*BE35</f>
        <v>29700.908381172838</v>
      </c>
      <c r="AA35" s="133">
        <f t="shared" ref="AA35" si="69">AA$23*BF35</f>
        <v>29222.882748898868</v>
      </c>
      <c r="AB35" s="133">
        <f t="shared" ref="AB35" si="70">AB$23*BG35</f>
        <v>29000.321810231275</v>
      </c>
      <c r="AC35" s="133">
        <f t="shared" ref="AC35" si="71">AC$23*BH35</f>
        <v>28777.760871563685</v>
      </c>
      <c r="AD35" s="133">
        <f t="shared" ref="AD35" si="72">AD$23*BI35</f>
        <v>28555.199932896096</v>
      </c>
      <c r="AE35" s="133">
        <f t="shared" ref="AE35" si="73">AE$23*BJ35</f>
        <v>28332.638994228506</v>
      </c>
      <c r="AF35" s="133">
        <f t="shared" ref="AF35" si="74">AF$23*BK35</f>
        <v>28110.078055560927</v>
      </c>
      <c r="AG35" s="161">
        <f>B35/B$23</f>
        <v>4.3647087577094491E-2</v>
      </c>
      <c r="AH35" s="161">
        <f t="shared" ref="AH35:AK35" si="75">C35/C$23</f>
        <v>4.4916982880222653E-2</v>
      </c>
      <c r="AI35" s="161">
        <f t="shared" si="75"/>
        <v>4.6092535246087876E-2</v>
      </c>
      <c r="AJ35" s="161">
        <f t="shared" si="75"/>
        <v>4.718388150678051E-2</v>
      </c>
      <c r="AK35" s="161">
        <f t="shared" si="75"/>
        <v>4.8199756483384856E-2</v>
      </c>
      <c r="AL35" s="133">
        <v>4.914772727272728E-2</v>
      </c>
      <c r="AM35" s="133">
        <v>5.8657121413313341E-2</v>
      </c>
      <c r="AN35" s="133">
        <v>6.8477878183311858E-2</v>
      </c>
      <c r="AO35" s="133">
        <v>7.8625544353636057E-2</v>
      </c>
      <c r="AP35" s="133">
        <v>8.9116719242902293E-2</v>
      </c>
      <c r="AQ35" s="133">
        <v>9.9969145325516887E-2</v>
      </c>
      <c r="AR35" s="133">
        <v>9.9969145325516887E-2</v>
      </c>
      <c r="AS35" s="133">
        <v>9.9969145325516887E-2</v>
      </c>
      <c r="AT35" s="133">
        <v>9.9969145325516887E-2</v>
      </c>
      <c r="AU35" s="133">
        <v>9.9969145325516887E-2</v>
      </c>
      <c r="AV35" s="133">
        <v>9.9969145325516887E-2</v>
      </c>
      <c r="AW35" s="133">
        <v>9.9969145325516887E-2</v>
      </c>
      <c r="AX35" s="133">
        <v>9.9969145325516887E-2</v>
      </c>
      <c r="AY35" s="133">
        <v>9.9969145325516887E-2</v>
      </c>
      <c r="AZ35" s="133">
        <v>9.9969145325516887E-2</v>
      </c>
      <c r="BA35" s="133">
        <v>9.9969145325516887E-2</v>
      </c>
      <c r="BB35" s="133">
        <v>9.9969145325516887E-2</v>
      </c>
      <c r="BC35" s="133">
        <v>9.9969145325516887E-2</v>
      </c>
      <c r="BD35" s="133">
        <v>9.9969145325516887E-2</v>
      </c>
      <c r="BE35" s="133">
        <v>9.9969145325516887E-2</v>
      </c>
      <c r="BF35" s="133">
        <v>9.9969145325516887E-2</v>
      </c>
      <c r="BG35" s="60">
        <v>9.9969145325516887E-2</v>
      </c>
      <c r="BH35" s="60">
        <v>9.9969145325516887E-2</v>
      </c>
      <c r="BI35" s="60">
        <v>9.9969145325516887E-2</v>
      </c>
      <c r="BJ35" s="60">
        <v>9.9969145325516887E-2</v>
      </c>
      <c r="BK35" s="165">
        <v>9.9969145325516887E-2</v>
      </c>
      <c r="BN35" t="s">
        <v>114</v>
      </c>
      <c r="BO35">
        <v>0.8929624524847033</v>
      </c>
      <c r="BP35">
        <v>0.88339816820283423</v>
      </c>
      <c r="BQ35">
        <v>0.87454443279042438</v>
      </c>
      <c r="BR35">
        <v>0.86632490015532682</v>
      </c>
      <c r="BS35">
        <v>0.85867378352614709</v>
      </c>
      <c r="BT35">
        <v>0.85153409090909082</v>
      </c>
      <c r="BU35">
        <v>0.81906783672998074</v>
      </c>
      <c r="BV35">
        <v>0.7855712944490082</v>
      </c>
      <c r="BW35">
        <v>0.75099302034242077</v>
      </c>
      <c r="BX35">
        <v>0.71527808784275648</v>
      </c>
      <c r="BY35">
        <v>0.67836778771983952</v>
      </c>
      <c r="BZ35">
        <v>0.67836778771983952</v>
      </c>
      <c r="CA35">
        <v>0.67836778771983952</v>
      </c>
      <c r="CB35">
        <v>0.67836778771983952</v>
      </c>
      <c r="CC35">
        <v>0.67836778771983952</v>
      </c>
      <c r="CD35">
        <v>0.67784879146640553</v>
      </c>
      <c r="CE35">
        <v>0.6345597188213935</v>
      </c>
      <c r="CF35">
        <v>0.5892525570819378</v>
      </c>
      <c r="CG35">
        <v>0.54236801558346037</v>
      </c>
      <c r="CH35">
        <v>0.49382225967934529</v>
      </c>
      <c r="CI35">
        <v>0.44352540671319102</v>
      </c>
      <c r="CJ35">
        <v>0.39070259155297116</v>
      </c>
      <c r="CK35">
        <v>0.33623247281749413</v>
      </c>
      <c r="CL35">
        <v>0.28003677206265476</v>
      </c>
      <c r="CM35">
        <v>0.22203217138868439</v>
      </c>
      <c r="CN35">
        <v>0.16212990126504168</v>
      </c>
      <c r="CO35">
        <v>0.16212990126504168</v>
      </c>
      <c r="CP35">
        <v>0.16212990126504168</v>
      </c>
      <c r="CQ35">
        <v>0.16212990126504168</v>
      </c>
      <c r="CR35">
        <v>0.16212990126504168</v>
      </c>
      <c r="CS35">
        <v>0.16212990126504168</v>
      </c>
    </row>
    <row r="36" spans="1:97" x14ac:dyDescent="0.35">
      <c r="A36" s="142" t="s">
        <v>113</v>
      </c>
      <c r="B36" s="129"/>
      <c r="C36" s="153"/>
      <c r="D36" s="153"/>
      <c r="E36" s="153"/>
      <c r="F36" s="153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53"/>
      <c r="BH36" s="153"/>
      <c r="BI36" s="153"/>
      <c r="BJ36" s="153"/>
      <c r="BK36" s="164"/>
      <c r="BN36" t="s">
        <v>110</v>
      </c>
      <c r="BO36">
        <v>3.3377716489710378E-2</v>
      </c>
      <c r="BP36">
        <v>3.459174461768344E-2</v>
      </c>
      <c r="BQ36">
        <v>3.5715580287088718E-2</v>
      </c>
      <c r="BR36">
        <v>3.6758914375005544E-2</v>
      </c>
      <c r="BS36">
        <v>3.7730097426918269E-2</v>
      </c>
      <c r="BT36">
        <v>3.8636363636363712E-2</v>
      </c>
      <c r="BU36">
        <v>4.8611512037411299E-2</v>
      </c>
      <c r="BV36">
        <v>5.8913273090012971E-2</v>
      </c>
      <c r="BW36">
        <v>6.9557955019984546E-2</v>
      </c>
      <c r="BX36">
        <v>8.0562970152875571E-2</v>
      </c>
      <c r="BY36">
        <v>9.1946929959888929E-2</v>
      </c>
      <c r="BZ36">
        <v>9.1946929959888915E-2</v>
      </c>
      <c r="CA36">
        <v>9.1946929959888929E-2</v>
      </c>
      <c r="CB36">
        <v>9.1946929959888929E-2</v>
      </c>
      <c r="CC36">
        <v>9.1946929959888929E-2</v>
      </c>
      <c r="CD36">
        <v>9.1876584473225512E-2</v>
      </c>
      <c r="CE36">
        <v>8.6009122305102478E-2</v>
      </c>
      <c r="CF36">
        <v>7.9868125485159799E-2</v>
      </c>
      <c r="CG36">
        <v>7.3513328380403448E-2</v>
      </c>
      <c r="CH36">
        <v>6.6933367924190024E-2</v>
      </c>
      <c r="CI36">
        <v>6.0116061294070718E-2</v>
      </c>
      <c r="CJ36">
        <v>5.2956382173477284E-2</v>
      </c>
      <c r="CK36">
        <v>4.5573425195062869E-2</v>
      </c>
      <c r="CL36">
        <v>3.7956580387735389E-2</v>
      </c>
      <c r="CM36">
        <v>3.0094554725450379E-2</v>
      </c>
      <c r="CN36">
        <v>2.197531626041346E-2</v>
      </c>
      <c r="CO36">
        <v>2.197531626041346E-2</v>
      </c>
      <c r="CP36">
        <v>2.197531626041346E-2</v>
      </c>
      <c r="CQ36">
        <v>2.197531626041346E-2</v>
      </c>
      <c r="CR36">
        <v>2.197531626041346E-2</v>
      </c>
      <c r="CS36">
        <v>2.197531626041346E-2</v>
      </c>
    </row>
    <row r="37" spans="1:97" x14ac:dyDescent="0.35">
      <c r="A37" s="144" t="s">
        <v>111</v>
      </c>
      <c r="B37" s="151">
        <f>B35</f>
        <v>14708.902940000002</v>
      </c>
      <c r="C37" s="153">
        <f t="shared" si="30"/>
        <v>15744.250349017826</v>
      </c>
      <c r="D37" s="153">
        <f t="shared" si="30"/>
        <v>16779.597758035648</v>
      </c>
      <c r="E37" s="153">
        <f t="shared" si="30"/>
        <v>17814.945167053473</v>
      </c>
      <c r="F37" s="153">
        <f t="shared" si="30"/>
        <v>18850.292576071297</v>
      </c>
      <c r="G37" s="145">
        <f>G35</f>
        <v>19885.639985089121</v>
      </c>
      <c r="H37" s="145">
        <f t="shared" ref="H37:P37" si="76">H35</f>
        <v>23296.432247559685</v>
      </c>
      <c r="I37" s="145">
        <f t="shared" si="76"/>
        <v>26686.941193334715</v>
      </c>
      <c r="J37" s="145">
        <f t="shared" si="76"/>
        <v>30056.154048085384</v>
      </c>
      <c r="K37" s="145">
        <f t="shared" si="76"/>
        <v>33402.989470620989</v>
      </c>
      <c r="L37" s="145">
        <f t="shared" si="76"/>
        <v>36726.291650342071</v>
      </c>
      <c r="M37" s="145">
        <f t="shared" si="76"/>
        <v>36273.79297022766</v>
      </c>
      <c r="N37" s="145">
        <f t="shared" si="76"/>
        <v>35821.294290113256</v>
      </c>
      <c r="O37" s="145">
        <f t="shared" si="76"/>
        <v>35368.795609998844</v>
      </c>
      <c r="P37" s="145">
        <f t="shared" si="76"/>
        <v>34916.29692988444</v>
      </c>
      <c r="Q37" s="145">
        <f>Q35</f>
        <v>34463.798249770043</v>
      </c>
      <c r="R37" s="145">
        <f t="shared" ref="R37:AF37" si="77">R35</f>
        <v>33893.64078186977</v>
      </c>
      <c r="S37" s="145">
        <f t="shared" si="77"/>
        <v>33323.483313969504</v>
      </c>
      <c r="T37" s="145">
        <f t="shared" si="77"/>
        <v>32753.325846069234</v>
      </c>
      <c r="U37" s="145">
        <f t="shared" si="77"/>
        <v>32183.168378168964</v>
      </c>
      <c r="V37" s="145">
        <f t="shared" si="77"/>
        <v>31613.010910268691</v>
      </c>
      <c r="W37" s="145">
        <f t="shared" si="77"/>
        <v>31134.985277994729</v>
      </c>
      <c r="X37" s="145">
        <f t="shared" si="77"/>
        <v>30656.959645720763</v>
      </c>
      <c r="Y37" s="145">
        <f t="shared" si="77"/>
        <v>30178.9340134468</v>
      </c>
      <c r="Z37" s="145">
        <f t="shared" si="77"/>
        <v>29700.908381172838</v>
      </c>
      <c r="AA37" s="145">
        <f t="shared" si="77"/>
        <v>29222.882748898868</v>
      </c>
      <c r="AB37" s="145">
        <f t="shared" si="77"/>
        <v>29000.321810231275</v>
      </c>
      <c r="AC37" s="145">
        <f t="shared" si="77"/>
        <v>28777.760871563685</v>
      </c>
      <c r="AD37" s="145">
        <f t="shared" si="77"/>
        <v>28555.199932896096</v>
      </c>
      <c r="AE37" s="145">
        <f t="shared" si="77"/>
        <v>28332.638994228506</v>
      </c>
      <c r="AF37" s="145">
        <f t="shared" si="77"/>
        <v>28110.078055560927</v>
      </c>
      <c r="AG37" s="161">
        <f>B37/B$23</f>
        <v>4.3647087577094491E-2</v>
      </c>
      <c r="AH37" s="161">
        <f t="shared" ref="AH37:BF37" si="78">C37/C$23</f>
        <v>4.4916982880222653E-2</v>
      </c>
      <c r="AI37" s="161">
        <f t="shared" si="78"/>
        <v>4.6092535246087876E-2</v>
      </c>
      <c r="AJ37" s="161">
        <f t="shared" si="78"/>
        <v>4.718388150678051E-2</v>
      </c>
      <c r="AK37" s="161">
        <f t="shared" si="78"/>
        <v>4.8199756483384856E-2</v>
      </c>
      <c r="AL37" s="161">
        <f t="shared" si="78"/>
        <v>4.914772727272728E-2</v>
      </c>
      <c r="AM37" s="161">
        <f t="shared" si="78"/>
        <v>5.8657121413313341E-2</v>
      </c>
      <c r="AN37" s="161">
        <f t="shared" si="78"/>
        <v>6.8477878183311858E-2</v>
      </c>
      <c r="AO37" s="161">
        <f t="shared" si="78"/>
        <v>7.8625544353636057E-2</v>
      </c>
      <c r="AP37" s="161">
        <f t="shared" si="78"/>
        <v>8.9116719242902293E-2</v>
      </c>
      <c r="AQ37" s="161">
        <f t="shared" si="78"/>
        <v>9.99691453255169E-2</v>
      </c>
      <c r="AR37" s="161">
        <f t="shared" si="78"/>
        <v>9.9969145325516887E-2</v>
      </c>
      <c r="AS37" s="161">
        <f t="shared" si="78"/>
        <v>9.99691453255169E-2</v>
      </c>
      <c r="AT37" s="161">
        <f t="shared" si="78"/>
        <v>9.9969145325516887E-2</v>
      </c>
      <c r="AU37" s="161">
        <f t="shared" si="78"/>
        <v>9.9969145325516887E-2</v>
      </c>
      <c r="AV37" s="161">
        <f t="shared" si="78"/>
        <v>9.9969145325516887E-2</v>
      </c>
      <c r="AW37" s="161">
        <f t="shared" si="78"/>
        <v>9.9969145325516873E-2</v>
      </c>
      <c r="AX37" s="161">
        <f t="shared" si="78"/>
        <v>9.9969145325516887E-2</v>
      </c>
      <c r="AY37" s="161">
        <f t="shared" si="78"/>
        <v>9.9969145325516887E-2</v>
      </c>
      <c r="AZ37" s="161">
        <f t="shared" si="78"/>
        <v>9.9969145325516887E-2</v>
      </c>
      <c r="BA37" s="161">
        <f t="shared" si="78"/>
        <v>9.9969145325516887E-2</v>
      </c>
      <c r="BB37" s="161">
        <f t="shared" si="78"/>
        <v>9.9969145325516887E-2</v>
      </c>
      <c r="BC37" s="161">
        <f t="shared" si="78"/>
        <v>9.9969145325516887E-2</v>
      </c>
      <c r="BD37" s="161">
        <f t="shared" si="78"/>
        <v>9.9969145325516887E-2</v>
      </c>
      <c r="BE37" s="161">
        <f t="shared" si="78"/>
        <v>9.9969145325516887E-2</v>
      </c>
      <c r="BF37" s="161">
        <f t="shared" si="78"/>
        <v>9.9969145325516887E-2</v>
      </c>
      <c r="BG37" s="162">
        <v>9.9969145325516887E-2</v>
      </c>
      <c r="BH37" s="162">
        <v>9.9969145325516887E-2</v>
      </c>
      <c r="BI37" s="162">
        <v>9.9969145325516887E-2</v>
      </c>
      <c r="BJ37" s="162">
        <v>9.9969145325516887E-2</v>
      </c>
      <c r="BK37" s="166">
        <v>9.9969145325516887E-2</v>
      </c>
      <c r="BN37" t="s">
        <v>112</v>
      </c>
      <c r="BO37">
        <v>0</v>
      </c>
      <c r="BP37">
        <v>1.154316019040833E-3</v>
      </c>
      <c r="BQ37">
        <v>2.2228757056519674E-3</v>
      </c>
      <c r="BR37">
        <v>3.2148932900422926E-3</v>
      </c>
      <c r="BS37">
        <v>4.1383085951847967E-3</v>
      </c>
      <c r="BT37">
        <v>5.0000000000000001E-3</v>
      </c>
      <c r="BU37">
        <v>6.0000000000000001E-3</v>
      </c>
      <c r="BV37">
        <v>7.000000000000001E-3</v>
      </c>
      <c r="BW37">
        <v>8.0000000000000002E-3</v>
      </c>
      <c r="BX37">
        <v>9.0000000000000011E-3</v>
      </c>
      <c r="BY37">
        <v>1.0000000000000002E-2</v>
      </c>
      <c r="BZ37">
        <v>1.0000000000000002E-2</v>
      </c>
      <c r="CA37">
        <v>1.0000000000000002E-2</v>
      </c>
      <c r="CB37">
        <v>1.0000000000000002E-2</v>
      </c>
      <c r="CC37">
        <v>1.0000000000000002E-2</v>
      </c>
      <c r="CD37">
        <v>9.9923493381786563E-3</v>
      </c>
      <c r="CE37">
        <v>5.974587655323247E-2</v>
      </c>
      <c r="CF37">
        <v>0.11119403511263087</v>
      </c>
      <c r="CG37">
        <v>0.16443337371586461</v>
      </c>
      <c r="CH37">
        <v>0.21955909007619312</v>
      </c>
      <c r="CI37">
        <v>0.2766732496724667</v>
      </c>
      <c r="CJ37">
        <v>0.33665574395328002</v>
      </c>
      <c r="CK37">
        <v>0.39850881966717144</v>
      </c>
      <c r="CL37">
        <v>0.46232136522933837</v>
      </c>
      <c r="CM37">
        <v>0.5281879915655936</v>
      </c>
      <c r="CN37">
        <v>0.59620950015427343</v>
      </c>
      <c r="CO37">
        <v>0.59620950015427343</v>
      </c>
      <c r="CP37">
        <v>0.59620950015427343</v>
      </c>
      <c r="CQ37">
        <v>0.59620950015427343</v>
      </c>
      <c r="CR37">
        <v>0.59620950015427343</v>
      </c>
      <c r="CS37">
        <v>0.59620950015427343</v>
      </c>
    </row>
    <row r="38" spans="1:97" x14ac:dyDescent="0.35">
      <c r="A38" s="142"/>
      <c r="B38" s="129"/>
      <c r="C38" s="153"/>
      <c r="D38" s="153"/>
      <c r="E38" s="153"/>
      <c r="F38" s="153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53"/>
      <c r="BH38" s="153"/>
      <c r="BI38" s="153"/>
      <c r="BJ38" s="153"/>
      <c r="BK38" s="164"/>
    </row>
    <row r="39" spans="1:97" x14ac:dyDescent="0.35">
      <c r="A39" s="141" t="s">
        <v>80</v>
      </c>
      <c r="B39" s="132">
        <f>'Initial demand info'!F28</f>
        <v>300924.95906999998</v>
      </c>
      <c r="C39" s="153">
        <f t="shared" si="30"/>
        <v>309647.73291068914</v>
      </c>
      <c r="D39" s="153">
        <f t="shared" si="30"/>
        <v>318370.5067513783</v>
      </c>
      <c r="E39" s="153">
        <f t="shared" si="30"/>
        <v>327093.28059206746</v>
      </c>
      <c r="F39" s="153">
        <f t="shared" si="30"/>
        <v>335816.05443275662</v>
      </c>
      <c r="G39" s="133">
        <f>G$23*AL39</f>
        <v>344538.82827344578</v>
      </c>
      <c r="H39" s="133">
        <f t="shared" ref="H39:O39" si="79">H$23*AM39</f>
        <v>325303.35455916869</v>
      </c>
      <c r="I39" s="133">
        <f t="shared" si="79"/>
        <v>306149.89094743278</v>
      </c>
      <c r="J39" s="133">
        <f t="shared" si="79"/>
        <v>287081.78867323638</v>
      </c>
      <c r="K39" s="133">
        <f t="shared" si="79"/>
        <v>268102.62585693673</v>
      </c>
      <c r="L39" s="133">
        <f t="shared" si="79"/>
        <v>249216.22703557255</v>
      </c>
      <c r="M39" s="133">
        <f t="shared" si="79"/>
        <v>246145.67434078016</v>
      </c>
      <c r="N39" s="133">
        <f t="shared" si="79"/>
        <v>243075.12164598776</v>
      </c>
      <c r="O39" s="133">
        <f t="shared" si="79"/>
        <v>240004.56895119537</v>
      </c>
      <c r="P39" s="133">
        <f t="shared" ref="P39" si="80">P$23*AU39</f>
        <v>236934.01625640297</v>
      </c>
      <c r="Q39" s="133">
        <f t="shared" ref="Q39" si="81">Q$23*AV39</f>
        <v>233863.46356161067</v>
      </c>
      <c r="R39" s="133">
        <f t="shared" ref="R39" si="82">R$23*AW39</f>
        <v>229994.50520558952</v>
      </c>
      <c r="S39" s="133">
        <f t="shared" ref="S39" si="83">S$23*AX39</f>
        <v>226125.54684956837</v>
      </c>
      <c r="T39" s="133">
        <f t="shared" ref="T39" si="84">T$23*AY39</f>
        <v>222256.58849354723</v>
      </c>
      <c r="U39" s="133">
        <f t="shared" ref="U39" si="85">U$23*AZ39</f>
        <v>218387.63013752608</v>
      </c>
      <c r="V39" s="133">
        <f t="shared" ref="V39" si="86">V$23*BA39</f>
        <v>214518.67178150491</v>
      </c>
      <c r="W39" s="133">
        <f t="shared" ref="W39" si="87">W$23*BB39</f>
        <v>211274.89901958758</v>
      </c>
      <c r="X39" s="133">
        <f t="shared" ref="X39" si="88">X$23*BC39</f>
        <v>208031.12625767026</v>
      </c>
      <c r="Y39" s="133">
        <f t="shared" ref="Y39" si="89">Y$23*BD39</f>
        <v>204787.35349575293</v>
      </c>
      <c r="Z39" s="133">
        <f t="shared" ref="Z39" si="90">Z$23*BE39</f>
        <v>201543.58073383561</v>
      </c>
      <c r="AA39" s="133">
        <f t="shared" ref="AA39" si="91">AA$23*BF39</f>
        <v>198299.80797191826</v>
      </c>
      <c r="AB39" s="133">
        <f t="shared" ref="AB39" si="92">AB$23*BG39</f>
        <v>196789.56027393931</v>
      </c>
      <c r="AC39" s="133">
        <f t="shared" ref="AC39" si="93">AC$23*BH39</f>
        <v>195279.31257596036</v>
      </c>
      <c r="AD39" s="133">
        <f t="shared" ref="AD39" si="94">AD$23*BI39</f>
        <v>193769.06487798141</v>
      </c>
      <c r="AE39" s="133">
        <f t="shared" ref="AE39" si="95">AE$23*BJ39</f>
        <v>192258.81718000249</v>
      </c>
      <c r="AF39" s="133">
        <f t="shared" ref="AF39" si="96">AF$23*BK39</f>
        <v>190748.56948202362</v>
      </c>
      <c r="AG39" s="161">
        <f>B39/B$23</f>
        <v>0.8929624524847033</v>
      </c>
      <c r="AH39" s="161">
        <f t="shared" ref="AH39:AK39" si="97">C39/C$23</f>
        <v>0.88339816820283423</v>
      </c>
      <c r="AI39" s="161">
        <f t="shared" si="97"/>
        <v>0.87454443279042438</v>
      </c>
      <c r="AJ39" s="161">
        <f t="shared" si="97"/>
        <v>0.86632490015532682</v>
      </c>
      <c r="AK39" s="161">
        <f t="shared" si="97"/>
        <v>0.85867378352614709</v>
      </c>
      <c r="AL39" s="133">
        <v>0.85153409090909082</v>
      </c>
      <c r="AM39" s="133">
        <v>0.81906783672998085</v>
      </c>
      <c r="AN39" s="133">
        <v>0.7855712944490082</v>
      </c>
      <c r="AO39" s="133">
        <v>0.75099302034242077</v>
      </c>
      <c r="AP39" s="133">
        <v>0.71527808784275648</v>
      </c>
      <c r="AQ39" s="133">
        <v>0.67836778771983952</v>
      </c>
      <c r="AR39" s="133">
        <v>0.67836778771983952</v>
      </c>
      <c r="AS39" s="133">
        <v>0.67836778771983952</v>
      </c>
      <c r="AT39" s="133">
        <v>0.67836778771983952</v>
      </c>
      <c r="AU39" s="133">
        <v>0.67836778771983952</v>
      </c>
      <c r="AV39" s="133">
        <v>0.67836778771983952</v>
      </c>
      <c r="AW39" s="133">
        <v>0.67836778771983952</v>
      </c>
      <c r="AX39" s="133">
        <v>0.67836778771983952</v>
      </c>
      <c r="AY39" s="133">
        <v>0.67836778771983952</v>
      </c>
      <c r="AZ39" s="133">
        <v>0.67836778771983952</v>
      </c>
      <c r="BA39" s="133">
        <v>0.67836778771983952</v>
      </c>
      <c r="BB39" s="133">
        <v>0.67836778771983952</v>
      </c>
      <c r="BC39" s="133">
        <v>0.67836778771983952</v>
      </c>
      <c r="BD39" s="133">
        <v>0.67836778771983952</v>
      </c>
      <c r="BE39" s="133">
        <v>0.67836778771983952</v>
      </c>
      <c r="BF39" s="133">
        <v>0.67836778771983952</v>
      </c>
      <c r="BG39" s="60">
        <v>0.67836778771983952</v>
      </c>
      <c r="BH39" s="60">
        <v>0.67836778771983952</v>
      </c>
      <c r="BI39" s="60">
        <v>0.67836778771983952</v>
      </c>
      <c r="BJ39" s="60">
        <v>0.67836778771983952</v>
      </c>
      <c r="BK39" s="165">
        <v>0.67836778771983952</v>
      </c>
    </row>
    <row r="40" spans="1:97" x14ac:dyDescent="0.35">
      <c r="A40" s="142"/>
      <c r="B40" s="129"/>
      <c r="C40" s="153"/>
      <c r="D40" s="153"/>
      <c r="E40" s="153"/>
      <c r="F40" s="153"/>
      <c r="G40" s="128"/>
      <c r="H40" s="128"/>
      <c r="I40" s="128"/>
      <c r="J40" s="128"/>
      <c r="K40" s="128"/>
      <c r="L40" s="128"/>
      <c r="M40" s="128"/>
      <c r="N40" s="128"/>
      <c r="O40" s="128"/>
      <c r="P40" s="128" t="s">
        <v>115</v>
      </c>
      <c r="Q40" s="128">
        <f>Q39*0.761</f>
        <v>177970.09577038573</v>
      </c>
      <c r="R40" s="128">
        <f t="shared" ref="R40:AA40" si="98">R39*0.761</f>
        <v>175025.81846145363</v>
      </c>
      <c r="S40" s="128">
        <f t="shared" si="98"/>
        <v>172081.54115252153</v>
      </c>
      <c r="T40" s="128">
        <f t="shared" si="98"/>
        <v>169137.26384358943</v>
      </c>
      <c r="U40" s="128">
        <f t="shared" si="98"/>
        <v>166192.98653465736</v>
      </c>
      <c r="V40" s="128">
        <f t="shared" si="98"/>
        <v>163248.70922572524</v>
      </c>
      <c r="W40" s="128">
        <f t="shared" si="98"/>
        <v>160780.19815390615</v>
      </c>
      <c r="X40" s="128">
        <f t="shared" si="98"/>
        <v>158311.68708208707</v>
      </c>
      <c r="Y40" s="128">
        <f t="shared" si="98"/>
        <v>155843.17601026798</v>
      </c>
      <c r="Z40" s="128">
        <f t="shared" si="98"/>
        <v>153374.6649384489</v>
      </c>
      <c r="AA40" s="128">
        <f t="shared" si="98"/>
        <v>150906.15386662979</v>
      </c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53"/>
      <c r="BH40" s="153"/>
      <c r="BI40" s="153"/>
      <c r="BJ40" s="153"/>
      <c r="BK40" s="164"/>
    </row>
    <row r="41" spans="1:97" x14ac:dyDescent="0.35">
      <c r="A41" s="141"/>
      <c r="B41" s="134"/>
      <c r="C41" s="153"/>
      <c r="D41" s="153"/>
      <c r="E41" s="153"/>
      <c r="F41" s="153"/>
      <c r="G41" s="133"/>
      <c r="H41" s="133"/>
      <c r="I41" s="133"/>
      <c r="J41" s="133"/>
      <c r="K41" s="133"/>
      <c r="L41" s="133"/>
      <c r="M41" s="133"/>
      <c r="N41" s="133"/>
      <c r="O41" s="133"/>
      <c r="P41" s="133" t="s">
        <v>116</v>
      </c>
      <c r="Q41" s="133">
        <f>Q39*0.761</f>
        <v>177970.09577038573</v>
      </c>
      <c r="R41" s="133">
        <f>Q41+($AA$41-$Q$41)/10</f>
        <v>160173.08619334715</v>
      </c>
      <c r="S41" s="133">
        <f t="shared" ref="S41:Z41" si="99">R41+($AA$41-$Q$41)/10</f>
        <v>142376.07661630856</v>
      </c>
      <c r="T41" s="133">
        <f t="shared" si="99"/>
        <v>124579.06703926998</v>
      </c>
      <c r="U41" s="133">
        <f t="shared" si="99"/>
        <v>106782.0574622314</v>
      </c>
      <c r="V41" s="133">
        <f t="shared" si="99"/>
        <v>88985.04788519282</v>
      </c>
      <c r="W41" s="133">
        <f t="shared" si="99"/>
        <v>71188.038308154239</v>
      </c>
      <c r="X41" s="133">
        <f t="shared" si="99"/>
        <v>53391.028731115664</v>
      </c>
      <c r="Y41" s="133">
        <f t="shared" si="99"/>
        <v>35594.01915407709</v>
      </c>
      <c r="Z41" s="133">
        <f t="shared" si="99"/>
        <v>17797.009577038516</v>
      </c>
      <c r="AA41" s="133">
        <v>0</v>
      </c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  <c r="BD41" s="133"/>
      <c r="BE41" s="133"/>
      <c r="BF41" s="133"/>
      <c r="BG41" s="60"/>
      <c r="BH41" s="60"/>
      <c r="BI41" s="60"/>
      <c r="BJ41" s="60"/>
      <c r="BK41" s="165"/>
    </row>
    <row r="42" spans="1:97" x14ac:dyDescent="0.35">
      <c r="A42" s="142"/>
      <c r="B42" s="129"/>
      <c r="C42" s="153"/>
      <c r="D42" s="153"/>
      <c r="E42" s="153"/>
      <c r="F42" s="153"/>
      <c r="G42" s="128"/>
      <c r="H42" s="128"/>
      <c r="I42" s="128"/>
      <c r="J42" s="128"/>
      <c r="K42" s="128"/>
      <c r="L42" s="128"/>
      <c r="M42" s="128"/>
      <c r="N42" s="128"/>
      <c r="O42" s="128"/>
      <c r="P42" s="128" t="s">
        <v>108</v>
      </c>
      <c r="Q42" s="128">
        <f t="shared" ref="Q42:AA42" si="100">Q40-Q41</f>
        <v>0</v>
      </c>
      <c r="R42" s="128">
        <f t="shared" si="100"/>
        <v>14852.732268106483</v>
      </c>
      <c r="S42" s="128">
        <f t="shared" si="100"/>
        <v>29705.464536212967</v>
      </c>
      <c r="T42" s="128">
        <f t="shared" si="100"/>
        <v>44558.19680431945</v>
      </c>
      <c r="U42" s="128">
        <f t="shared" si="100"/>
        <v>59410.929072425963</v>
      </c>
      <c r="V42" s="128">
        <f t="shared" si="100"/>
        <v>74263.661340532417</v>
      </c>
      <c r="W42" s="128">
        <f t="shared" si="100"/>
        <v>89592.159845751914</v>
      </c>
      <c r="X42" s="128">
        <f t="shared" si="100"/>
        <v>104920.65835097141</v>
      </c>
      <c r="Y42" s="128">
        <f t="shared" si="100"/>
        <v>120249.15685619089</v>
      </c>
      <c r="Z42" s="128">
        <f t="shared" si="100"/>
        <v>135577.65536141038</v>
      </c>
      <c r="AA42" s="128">
        <f t="shared" si="100"/>
        <v>150906.15386662979</v>
      </c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53"/>
      <c r="BH42" s="153"/>
      <c r="BI42" s="153"/>
      <c r="BJ42" s="153"/>
      <c r="BK42" s="164"/>
    </row>
    <row r="43" spans="1:97" x14ac:dyDescent="0.35">
      <c r="A43" s="144" t="s">
        <v>114</v>
      </c>
      <c r="B43" s="151">
        <f>B39</f>
        <v>300924.95906999998</v>
      </c>
      <c r="C43" s="153">
        <f t="shared" ref="C43:F47" si="101">B43+($G43-$B43)/5</f>
        <v>309647.73291068914</v>
      </c>
      <c r="D43" s="153">
        <f t="shared" si="101"/>
        <v>318370.5067513783</v>
      </c>
      <c r="E43" s="153">
        <f t="shared" si="101"/>
        <v>327093.28059206746</v>
      </c>
      <c r="F43" s="153">
        <f t="shared" si="101"/>
        <v>335816.05443275662</v>
      </c>
      <c r="G43" s="145">
        <f>G39</f>
        <v>344538.82827344578</v>
      </c>
      <c r="H43" s="145">
        <f t="shared" ref="H43:P43" si="102">H39</f>
        <v>325303.35455916869</v>
      </c>
      <c r="I43" s="145">
        <f t="shared" si="102"/>
        <v>306149.89094743278</v>
      </c>
      <c r="J43" s="145">
        <f t="shared" si="102"/>
        <v>287081.78867323638</v>
      </c>
      <c r="K43" s="145">
        <f t="shared" si="102"/>
        <v>268102.62585693673</v>
      </c>
      <c r="L43" s="145">
        <f t="shared" si="102"/>
        <v>249216.22703557255</v>
      </c>
      <c r="M43" s="145">
        <f t="shared" si="102"/>
        <v>246145.67434078016</v>
      </c>
      <c r="N43" s="145">
        <f t="shared" si="102"/>
        <v>243075.12164598776</v>
      </c>
      <c r="O43" s="145">
        <f t="shared" si="102"/>
        <v>240004.56895119537</v>
      </c>
      <c r="P43" s="145">
        <f t="shared" si="102"/>
        <v>236934.01625640297</v>
      </c>
      <c r="Q43" s="145">
        <v>233684.5425344028</v>
      </c>
      <c r="R43" s="145">
        <f>R39-R42</f>
        <v>215141.77293748304</v>
      </c>
      <c r="S43" s="145">
        <f t="shared" ref="S43:AA43" si="103">S39-S42</f>
        <v>196420.08231335541</v>
      </c>
      <c r="T43" s="145">
        <f t="shared" si="103"/>
        <v>177698.39168922778</v>
      </c>
      <c r="U43" s="145">
        <f t="shared" si="103"/>
        <v>158976.70106510012</v>
      </c>
      <c r="V43" s="145">
        <f t="shared" si="103"/>
        <v>140255.01044097249</v>
      </c>
      <c r="W43" s="145">
        <f t="shared" si="103"/>
        <v>121682.73917383567</v>
      </c>
      <c r="X43" s="145">
        <f t="shared" si="103"/>
        <v>103110.46790669885</v>
      </c>
      <c r="Y43" s="145">
        <f t="shared" si="103"/>
        <v>84538.19663956204</v>
      </c>
      <c r="Z43" s="145">
        <f t="shared" si="103"/>
        <v>65965.925372425234</v>
      </c>
      <c r="AA43" s="145">
        <f t="shared" si="103"/>
        <v>47393.654105288471</v>
      </c>
      <c r="AB43" s="145">
        <f t="shared" ref="AB43" si="104">AB$23*BG43</f>
        <v>47032.704905471503</v>
      </c>
      <c r="AC43" s="145">
        <f t="shared" ref="AC43" si="105">AC$23*BH43</f>
        <v>46671.755705654534</v>
      </c>
      <c r="AD43" s="145">
        <f t="shared" ref="AD43" si="106">AD$23*BI43</f>
        <v>46310.806505837565</v>
      </c>
      <c r="AE43" s="145">
        <f t="shared" ref="AE43" si="107">AE$23*BJ43</f>
        <v>45949.857306020604</v>
      </c>
      <c r="AF43" s="145">
        <f t="shared" ref="AF43" si="108">AF$23*BK43</f>
        <v>45588.908106203649</v>
      </c>
      <c r="AG43" s="161">
        <f>B43/B$23</f>
        <v>0.8929624524847033</v>
      </c>
      <c r="AH43" s="161">
        <f t="shared" ref="AH43:BF43" si="109">C43/C$23</f>
        <v>0.88339816820283423</v>
      </c>
      <c r="AI43" s="161">
        <f t="shared" si="109"/>
        <v>0.87454443279042438</v>
      </c>
      <c r="AJ43" s="161">
        <f t="shared" si="109"/>
        <v>0.86632490015532682</v>
      </c>
      <c r="AK43" s="161">
        <f t="shared" si="109"/>
        <v>0.85867378352614709</v>
      </c>
      <c r="AL43" s="161">
        <f t="shared" si="109"/>
        <v>0.85153409090909082</v>
      </c>
      <c r="AM43" s="161">
        <f t="shared" si="109"/>
        <v>0.81906783672998074</v>
      </c>
      <c r="AN43" s="161">
        <f t="shared" si="109"/>
        <v>0.7855712944490082</v>
      </c>
      <c r="AO43" s="161">
        <f t="shared" si="109"/>
        <v>0.75099302034242077</v>
      </c>
      <c r="AP43" s="161">
        <f t="shared" si="109"/>
        <v>0.71527808784275648</v>
      </c>
      <c r="AQ43" s="161">
        <f t="shared" si="109"/>
        <v>0.67836778771983952</v>
      </c>
      <c r="AR43" s="161">
        <f t="shared" si="109"/>
        <v>0.67836778771983952</v>
      </c>
      <c r="AS43" s="161">
        <f t="shared" si="109"/>
        <v>0.67836778771983952</v>
      </c>
      <c r="AT43" s="161">
        <f t="shared" si="109"/>
        <v>0.67836778771983952</v>
      </c>
      <c r="AU43" s="161">
        <f t="shared" si="109"/>
        <v>0.67836778771983952</v>
      </c>
      <c r="AV43" s="161">
        <f t="shared" si="109"/>
        <v>0.67784879146640553</v>
      </c>
      <c r="AW43" s="161">
        <f t="shared" si="109"/>
        <v>0.6345597188213935</v>
      </c>
      <c r="AX43" s="161">
        <f t="shared" si="109"/>
        <v>0.5892525570819378</v>
      </c>
      <c r="AY43" s="161">
        <f t="shared" si="109"/>
        <v>0.54236801558346037</v>
      </c>
      <c r="AZ43" s="161">
        <f t="shared" si="109"/>
        <v>0.49382225967934529</v>
      </c>
      <c r="BA43" s="161">
        <f t="shared" si="109"/>
        <v>0.44352540671319102</v>
      </c>
      <c r="BB43" s="161">
        <f t="shared" si="109"/>
        <v>0.39070259155297116</v>
      </c>
      <c r="BC43" s="161">
        <f t="shared" si="109"/>
        <v>0.33623247281749413</v>
      </c>
      <c r="BD43" s="161">
        <f t="shared" si="109"/>
        <v>0.28003677206265476</v>
      </c>
      <c r="BE43" s="161">
        <f t="shared" si="109"/>
        <v>0.22203217138868439</v>
      </c>
      <c r="BF43" s="161">
        <f t="shared" si="109"/>
        <v>0.16212990126504168</v>
      </c>
      <c r="BG43" s="162">
        <v>0.16212990126504168</v>
      </c>
      <c r="BH43" s="162">
        <v>0.16212990126504168</v>
      </c>
      <c r="BI43" s="162">
        <v>0.16212990126504168</v>
      </c>
      <c r="BJ43" s="162">
        <v>0.16212990126504168</v>
      </c>
      <c r="BK43" s="166">
        <v>0.16212990126504168</v>
      </c>
    </row>
    <row r="44" spans="1:97" x14ac:dyDescent="0.35">
      <c r="A44" s="142"/>
      <c r="B44" s="129"/>
      <c r="C44" s="153"/>
      <c r="D44" s="153"/>
      <c r="E44" s="153"/>
      <c r="F44" s="153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53"/>
      <c r="BH44" s="153"/>
      <c r="BI44" s="153"/>
      <c r="BJ44" s="153"/>
      <c r="BK44" s="164"/>
    </row>
    <row r="45" spans="1:97" x14ac:dyDescent="0.35">
      <c r="A45" s="141" t="s">
        <v>84</v>
      </c>
      <c r="B45" s="134">
        <v>0</v>
      </c>
      <c r="C45" s="153">
        <f t="shared" si="101"/>
        <v>404.60955345383638</v>
      </c>
      <c r="D45" s="153">
        <f t="shared" si="101"/>
        <v>809.21910690767277</v>
      </c>
      <c r="E45" s="153">
        <f t="shared" si="101"/>
        <v>1213.8286603615093</v>
      </c>
      <c r="F45" s="153">
        <f t="shared" si="101"/>
        <v>1618.4382138153455</v>
      </c>
      <c r="G45" s="133">
        <f>G$23*AL45</f>
        <v>2023.047767269182</v>
      </c>
      <c r="H45" s="133">
        <f t="shared" ref="H45:P45" si="110">H$23*AM45</f>
        <v>2382.9773796849281</v>
      </c>
      <c r="I45" s="133">
        <f t="shared" si="110"/>
        <v>2728.0136784213109</v>
      </c>
      <c r="J45" s="133">
        <f t="shared" si="110"/>
        <v>3058.1566634783298</v>
      </c>
      <c r="K45" s="133">
        <f t="shared" si="110"/>
        <v>3373.4063348559857</v>
      </c>
      <c r="L45" s="133">
        <f t="shared" si="110"/>
        <v>3673.7626925542772</v>
      </c>
      <c r="M45" s="133">
        <f t="shared" si="110"/>
        <v>3628.4988585341907</v>
      </c>
      <c r="N45" s="133">
        <f t="shared" si="110"/>
        <v>3583.2350245141047</v>
      </c>
      <c r="O45" s="133">
        <f t="shared" si="110"/>
        <v>3537.9711904940186</v>
      </c>
      <c r="P45" s="133">
        <f t="shared" si="110"/>
        <v>3492.7073564739321</v>
      </c>
      <c r="Q45" s="133">
        <f t="shared" ref="Q45" si="111">Q$23*AV45</f>
        <v>3447.443522453847</v>
      </c>
      <c r="R45" s="133">
        <f t="shared" ref="R45" si="112">R$23*AW45</f>
        <v>3390.4101782111074</v>
      </c>
      <c r="S45" s="133">
        <f t="shared" ref="S45" si="113">S$23*AX45</f>
        <v>3333.3768339683675</v>
      </c>
      <c r="T45" s="133">
        <f t="shared" ref="T45" si="114">T$23*AY45</f>
        <v>3276.3434897256275</v>
      </c>
      <c r="U45" s="133">
        <f t="shared" ref="U45" si="115">U$23*AZ45</f>
        <v>3219.3101454828879</v>
      </c>
      <c r="V45" s="133">
        <f t="shared" ref="V45" si="116">V$23*BA45</f>
        <v>3162.2768012401475</v>
      </c>
      <c r="W45" s="133">
        <f t="shared" ref="W45" si="117">W$23*BB45</f>
        <v>3114.4594841352118</v>
      </c>
      <c r="X45" s="133">
        <f t="shared" ref="X45" si="118">X$23*BC45</f>
        <v>3066.6421670302761</v>
      </c>
      <c r="Y45" s="133">
        <f t="shared" ref="Y45" si="119">Y$23*BD45</f>
        <v>3018.8248499253405</v>
      </c>
      <c r="Z45" s="133">
        <f t="shared" ref="Z45" si="120">Z$23*BE45</f>
        <v>2971.0075328204048</v>
      </c>
      <c r="AA45" s="133">
        <f t="shared" ref="AA45" si="121">AA$23*BF45</f>
        <v>2923.1902157154686</v>
      </c>
      <c r="AB45" s="133">
        <f t="shared" ref="AB45" si="122">AB$23*BG45</f>
        <v>2900.9272526839359</v>
      </c>
      <c r="AC45" s="133">
        <f t="shared" ref="AC45" si="123">AC$23*BH45</f>
        <v>2878.6642896524031</v>
      </c>
      <c r="AD45" s="133">
        <f t="shared" ref="AD45" si="124">AD$23*BI45</f>
        <v>2856.4013266208703</v>
      </c>
      <c r="AE45" s="133">
        <f t="shared" ref="AE45" si="125">AE$23*BJ45</f>
        <v>2834.1383635893376</v>
      </c>
      <c r="AF45" s="133">
        <f t="shared" ref="AF45" si="126">AF$23*BK45</f>
        <v>2811.8754005578062</v>
      </c>
      <c r="AG45" s="161">
        <f>B45/B$23</f>
        <v>0</v>
      </c>
      <c r="AH45" s="161">
        <f t="shared" ref="AH45:AK45" si="127">C45/C$23</f>
        <v>1.154316019040833E-3</v>
      </c>
      <c r="AI45" s="161">
        <f t="shared" si="127"/>
        <v>2.2228757056519674E-3</v>
      </c>
      <c r="AJ45" s="161">
        <f t="shared" si="127"/>
        <v>3.2148932900422926E-3</v>
      </c>
      <c r="AK45" s="161">
        <f t="shared" si="127"/>
        <v>4.1383085951847967E-3</v>
      </c>
      <c r="AL45" s="133">
        <v>5.0000000000000001E-3</v>
      </c>
      <c r="AM45" s="133">
        <v>6.0000000000000001E-3</v>
      </c>
      <c r="AN45" s="133">
        <v>7.0000000000000001E-3</v>
      </c>
      <c r="AO45" s="133">
        <v>8.0000000000000002E-3</v>
      </c>
      <c r="AP45" s="133">
        <v>9.0000000000000011E-3</v>
      </c>
      <c r="AQ45" s="133">
        <v>1.0000000000000002E-2</v>
      </c>
      <c r="AR45" s="133">
        <v>1.0000000000000002E-2</v>
      </c>
      <c r="AS45" s="133">
        <v>1.0000000000000002E-2</v>
      </c>
      <c r="AT45" s="133">
        <v>1.0000000000000002E-2</v>
      </c>
      <c r="AU45" s="133">
        <v>1.0000000000000002E-2</v>
      </c>
      <c r="AV45" s="133">
        <v>1.0000000000000002E-2</v>
      </c>
      <c r="AW45" s="133">
        <v>1.0000000000000002E-2</v>
      </c>
      <c r="AX45" s="133">
        <v>1.0000000000000002E-2</v>
      </c>
      <c r="AY45" s="133">
        <v>1.0000000000000002E-2</v>
      </c>
      <c r="AZ45" s="133">
        <v>1.0000000000000002E-2</v>
      </c>
      <c r="BA45" s="133">
        <v>1.0000000000000002E-2</v>
      </c>
      <c r="BB45" s="133">
        <v>1.0000000000000002E-2</v>
      </c>
      <c r="BC45" s="133">
        <v>1.0000000000000002E-2</v>
      </c>
      <c r="BD45" s="133">
        <v>1.0000000000000002E-2</v>
      </c>
      <c r="BE45" s="133">
        <v>1.0000000000000002E-2</v>
      </c>
      <c r="BF45" s="133">
        <v>1.0000000000000002E-2</v>
      </c>
      <c r="BG45" s="60">
        <v>1.0000000000000002E-2</v>
      </c>
      <c r="BH45" s="60">
        <v>1.0000000000000002E-2</v>
      </c>
      <c r="BI45" s="60">
        <v>1.0000000000000002E-2</v>
      </c>
      <c r="BJ45" s="60">
        <v>1.0000000000000002E-2</v>
      </c>
      <c r="BK45" s="165">
        <v>1.0000000000000002E-2</v>
      </c>
    </row>
    <row r="46" spans="1:97" x14ac:dyDescent="0.35">
      <c r="A46" s="142" t="s">
        <v>113</v>
      </c>
      <c r="B46" s="129"/>
      <c r="C46" s="153"/>
      <c r="D46" s="153"/>
      <c r="E46" s="153"/>
      <c r="F46" s="153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43">
        <v>1</v>
      </c>
      <c r="R46" s="143">
        <v>1</v>
      </c>
      <c r="S46" s="143">
        <v>1</v>
      </c>
      <c r="T46" s="143">
        <v>1</v>
      </c>
      <c r="U46" s="143">
        <v>1</v>
      </c>
      <c r="V46" s="143">
        <v>1</v>
      </c>
      <c r="W46" s="143">
        <v>1</v>
      </c>
      <c r="X46" s="143">
        <v>1</v>
      </c>
      <c r="Y46" s="143">
        <v>1</v>
      </c>
      <c r="Z46" s="143">
        <v>1</v>
      </c>
      <c r="AA46" s="143">
        <v>1</v>
      </c>
      <c r="AB46" s="143"/>
      <c r="AC46" s="143"/>
      <c r="AD46" s="143"/>
      <c r="AE46" s="143"/>
      <c r="AF46" s="143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128"/>
      <c r="BC46" s="128"/>
      <c r="BD46" s="128"/>
      <c r="BE46" s="128"/>
      <c r="BF46" s="128"/>
      <c r="BG46" s="153"/>
      <c r="BH46" s="153"/>
      <c r="BI46" s="153"/>
      <c r="BJ46" s="153"/>
      <c r="BK46" s="164"/>
    </row>
    <row r="47" spans="1:97" ht="15" thickBot="1" x14ac:dyDescent="0.4">
      <c r="A47" s="155" t="s">
        <v>112</v>
      </c>
      <c r="B47" s="156">
        <f>B45</f>
        <v>0</v>
      </c>
      <c r="C47" s="169">
        <f t="shared" si="101"/>
        <v>404.60955345383638</v>
      </c>
      <c r="D47" s="169">
        <f t="shared" si="101"/>
        <v>809.21910690767277</v>
      </c>
      <c r="E47" s="169">
        <f t="shared" si="101"/>
        <v>1213.8286603615093</v>
      </c>
      <c r="F47" s="169">
        <f t="shared" si="101"/>
        <v>1618.4382138153455</v>
      </c>
      <c r="G47" s="157">
        <f>G45</f>
        <v>2023.047767269182</v>
      </c>
      <c r="H47" s="157">
        <f t="shared" ref="H47:P47" si="128">H45</f>
        <v>2382.9773796849281</v>
      </c>
      <c r="I47" s="157">
        <f t="shared" si="128"/>
        <v>2728.0136784213109</v>
      </c>
      <c r="J47" s="157">
        <f t="shared" si="128"/>
        <v>3058.1566634783298</v>
      </c>
      <c r="K47" s="157">
        <f t="shared" si="128"/>
        <v>3373.4063348559857</v>
      </c>
      <c r="L47" s="157">
        <f t="shared" si="128"/>
        <v>3673.7626925542772</v>
      </c>
      <c r="M47" s="157">
        <f t="shared" si="128"/>
        <v>3628.4988585341907</v>
      </c>
      <c r="N47" s="157">
        <f t="shared" si="128"/>
        <v>3583.2350245141047</v>
      </c>
      <c r="O47" s="157">
        <f t="shared" si="128"/>
        <v>3537.9711904940186</v>
      </c>
      <c r="P47" s="157">
        <f t="shared" si="128"/>
        <v>3492.7073564739321</v>
      </c>
      <c r="Q47" s="157">
        <v>3444.8059999999987</v>
      </c>
      <c r="R47" s="157">
        <f>R45+R46*(R42+R32)</f>
        <v>20256.302797222368</v>
      </c>
      <c r="S47" s="157">
        <f t="shared" ref="S47:AA47" si="129">S45+S46*(S42+S32)</f>
        <v>37065.16207199089</v>
      </c>
      <c r="T47" s="157">
        <f t="shared" si="129"/>
        <v>53874.021346759408</v>
      </c>
      <c r="U47" s="157">
        <f t="shared" si="129"/>
        <v>70682.880621527962</v>
      </c>
      <c r="V47" s="157">
        <f t="shared" si="129"/>
        <v>87491.739896296451</v>
      </c>
      <c r="W47" s="157">
        <f t="shared" si="129"/>
        <v>104850.06746438882</v>
      </c>
      <c r="X47" s="157">
        <f t="shared" si="129"/>
        <v>122208.39503248119</v>
      </c>
      <c r="Y47" s="157">
        <f t="shared" si="129"/>
        <v>139566.72260057356</v>
      </c>
      <c r="Z47" s="157">
        <f t="shared" si="129"/>
        <v>156925.05016866588</v>
      </c>
      <c r="AA47" s="157">
        <f t="shared" si="129"/>
        <v>174283.37773675818</v>
      </c>
      <c r="AB47" s="157">
        <f t="shared" ref="AB47" si="130">AB$23*BG47</f>
        <v>172956.03873065987</v>
      </c>
      <c r="AC47" s="157">
        <f t="shared" ref="AC47" si="131">AC$23*BH47</f>
        <v>171628.69972456153</v>
      </c>
      <c r="AD47" s="157">
        <f t="shared" ref="AD47" si="132">AD$23*BI47</f>
        <v>170301.36071846323</v>
      </c>
      <c r="AE47" s="157">
        <f t="shared" ref="AE47" si="133">AE$23*BJ47</f>
        <v>168974.02171236492</v>
      </c>
      <c r="AF47" s="157">
        <f t="shared" ref="AF47" si="134">AF$23*BK47</f>
        <v>167646.68270626667</v>
      </c>
      <c r="AG47" s="157">
        <f>B47/B$23</f>
        <v>0</v>
      </c>
      <c r="AH47" s="157">
        <f t="shared" ref="AH47:BF47" si="135">C47/C$23</f>
        <v>1.154316019040833E-3</v>
      </c>
      <c r="AI47" s="157">
        <f t="shared" si="135"/>
        <v>2.2228757056519674E-3</v>
      </c>
      <c r="AJ47" s="157">
        <f t="shared" si="135"/>
        <v>3.2148932900422926E-3</v>
      </c>
      <c r="AK47" s="157">
        <f t="shared" si="135"/>
        <v>4.1383085951847967E-3</v>
      </c>
      <c r="AL47" s="157">
        <f t="shared" si="135"/>
        <v>5.0000000000000001E-3</v>
      </c>
      <c r="AM47" s="157">
        <f t="shared" si="135"/>
        <v>6.0000000000000001E-3</v>
      </c>
      <c r="AN47" s="157">
        <f t="shared" si="135"/>
        <v>7.000000000000001E-3</v>
      </c>
      <c r="AO47" s="157">
        <f t="shared" si="135"/>
        <v>8.0000000000000002E-3</v>
      </c>
      <c r="AP47" s="157">
        <f t="shared" si="135"/>
        <v>9.0000000000000011E-3</v>
      </c>
      <c r="AQ47" s="157">
        <f t="shared" si="135"/>
        <v>1.0000000000000002E-2</v>
      </c>
      <c r="AR47" s="157">
        <f t="shared" si="135"/>
        <v>1.0000000000000002E-2</v>
      </c>
      <c r="AS47" s="157">
        <f t="shared" si="135"/>
        <v>1.0000000000000002E-2</v>
      </c>
      <c r="AT47" s="157">
        <f t="shared" si="135"/>
        <v>1.0000000000000002E-2</v>
      </c>
      <c r="AU47" s="157">
        <f t="shared" si="135"/>
        <v>1.0000000000000002E-2</v>
      </c>
      <c r="AV47" s="157">
        <f t="shared" si="135"/>
        <v>9.9923493381786563E-3</v>
      </c>
      <c r="AW47" s="157">
        <f t="shared" si="135"/>
        <v>5.974587655323247E-2</v>
      </c>
      <c r="AX47" s="157">
        <f t="shared" si="135"/>
        <v>0.11119403511263087</v>
      </c>
      <c r="AY47" s="157">
        <f t="shared" si="135"/>
        <v>0.16443337371586461</v>
      </c>
      <c r="AZ47" s="157">
        <f t="shared" si="135"/>
        <v>0.21955909007619312</v>
      </c>
      <c r="BA47" s="157">
        <f t="shared" si="135"/>
        <v>0.2766732496724667</v>
      </c>
      <c r="BB47" s="157">
        <f t="shared" si="135"/>
        <v>0.33665574395328002</v>
      </c>
      <c r="BC47" s="157">
        <f t="shared" si="135"/>
        <v>0.39850881966717144</v>
      </c>
      <c r="BD47" s="157">
        <f t="shared" si="135"/>
        <v>0.46232136522933837</v>
      </c>
      <c r="BE47" s="157">
        <f t="shared" si="135"/>
        <v>0.5281879915655936</v>
      </c>
      <c r="BF47" s="157">
        <f t="shared" si="135"/>
        <v>0.59620950015427343</v>
      </c>
      <c r="BG47" s="167">
        <v>0.59620950015427343</v>
      </c>
      <c r="BH47" s="167">
        <v>0.59620950015427343</v>
      </c>
      <c r="BI47" s="167">
        <v>0.59620950015427343</v>
      </c>
      <c r="BJ47" s="167">
        <v>0.59620950015427343</v>
      </c>
      <c r="BK47" s="168">
        <v>0.59620950015427343</v>
      </c>
    </row>
    <row r="48" spans="1:97" x14ac:dyDescent="0.35">
      <c r="A48" s="152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3"/>
      <c r="BF48" s="154"/>
    </row>
    <row r="49" spans="1:63" x14ac:dyDescent="0.35">
      <c r="A49" s="137" t="s">
        <v>31</v>
      </c>
      <c r="B49" s="132">
        <f>'Initial demand info'!F30</f>
        <v>192564.53910000002</v>
      </c>
      <c r="C49" s="128">
        <f t="shared" ref="C49:F54" si="136">B49+($G49-$B49)/5</f>
        <v>194986.62032385284</v>
      </c>
      <c r="D49" s="128">
        <f t="shared" si="136"/>
        <v>197408.70154770566</v>
      </c>
      <c r="E49" s="128">
        <f t="shared" si="136"/>
        <v>199830.78277155847</v>
      </c>
      <c r="F49" s="128">
        <f t="shared" si="136"/>
        <v>202252.86399541129</v>
      </c>
      <c r="G49" s="160">
        <f>'Initial demand info'!K36</f>
        <v>204674.94521926413</v>
      </c>
      <c r="H49" s="128">
        <f>G49+($L49-$G49)/5</f>
        <v>202722.27160703222</v>
      </c>
      <c r="I49" s="128">
        <f t="shared" ref="I49:K49" si="137">H49+($L49-$G49)/5</f>
        <v>200769.59799480031</v>
      </c>
      <c r="J49" s="128">
        <f t="shared" si="137"/>
        <v>198816.9243825684</v>
      </c>
      <c r="K49" s="128">
        <f t="shared" si="137"/>
        <v>196864.25077033648</v>
      </c>
      <c r="L49" s="127">
        <f>'Initial demand info'!L36</f>
        <v>194911.57715810454</v>
      </c>
      <c r="M49" s="128">
        <f>L49+($Q49-$L49)/5</f>
        <v>191413.98667286028</v>
      </c>
      <c r="N49" s="128">
        <f t="shared" ref="N49:P49" si="138">M49+($Q49-$L49)/5</f>
        <v>187916.39618761602</v>
      </c>
      <c r="O49" s="128">
        <f t="shared" si="138"/>
        <v>184418.80570237176</v>
      </c>
      <c r="P49" s="128">
        <f t="shared" si="138"/>
        <v>180921.21521712749</v>
      </c>
      <c r="Q49" s="127">
        <f>'Initial demand info'!M36</f>
        <v>177423.62473188323</v>
      </c>
      <c r="R49" s="128">
        <f>Q49+($V49-$Q49)/5</f>
        <v>176278.29503247267</v>
      </c>
      <c r="S49" s="128">
        <f t="shared" ref="S49:U49" si="139">R49+($V49-$Q49)/5</f>
        <v>175132.96533306211</v>
      </c>
      <c r="T49" s="128">
        <f t="shared" si="139"/>
        <v>173987.63563365155</v>
      </c>
      <c r="U49" s="128">
        <f t="shared" si="139"/>
        <v>172842.30593424098</v>
      </c>
      <c r="V49" s="127">
        <f>'Initial demand info'!N36</f>
        <v>171696.97623483045</v>
      </c>
      <c r="W49" s="128">
        <f>V49+($AA49-$V49)/5</f>
        <v>171014.24875712502</v>
      </c>
      <c r="X49" s="128">
        <f t="shared" ref="X49:Z49" si="140">W49+($AA49-$V49)/5</f>
        <v>170331.5212794196</v>
      </c>
      <c r="Y49" s="128">
        <f t="shared" si="140"/>
        <v>169648.79380171417</v>
      </c>
      <c r="Z49" s="128">
        <f t="shared" si="140"/>
        <v>168966.06632400875</v>
      </c>
      <c r="AA49" s="127">
        <f>'Initial demand info'!O36</f>
        <v>168283.33884630326</v>
      </c>
      <c r="AB49" s="128">
        <f>AA49+($AF49-$AA49)/5</f>
        <v>167296.11256623358</v>
      </c>
      <c r="AC49" s="128">
        <f t="shared" ref="AC49:AE49" si="141">AB49+($AF49-$AA49)/5</f>
        <v>166308.88628616391</v>
      </c>
      <c r="AD49" s="128">
        <f t="shared" si="141"/>
        <v>165321.66000609423</v>
      </c>
      <c r="AE49" s="128">
        <f t="shared" si="141"/>
        <v>164334.43372602455</v>
      </c>
      <c r="AF49" s="127">
        <f>'Initial demand info'!P36</f>
        <v>163347.2074459549</v>
      </c>
      <c r="AG49" s="133">
        <v>1</v>
      </c>
      <c r="AH49" s="133">
        <v>1</v>
      </c>
      <c r="AI49" s="133">
        <v>1</v>
      </c>
      <c r="AJ49" s="133">
        <v>1</v>
      </c>
      <c r="AK49" s="133">
        <v>1</v>
      </c>
      <c r="AL49" s="133">
        <v>0.99999999999999978</v>
      </c>
      <c r="AM49" s="133">
        <v>0.99999999999999967</v>
      </c>
      <c r="AN49" s="133">
        <v>0.99999999999999978</v>
      </c>
      <c r="AO49" s="133">
        <v>0.99999999999999967</v>
      </c>
      <c r="AP49" s="133">
        <v>0.99999999999999967</v>
      </c>
      <c r="AQ49" s="133">
        <v>1</v>
      </c>
      <c r="AR49" s="133">
        <v>1</v>
      </c>
      <c r="AS49" s="133">
        <v>1</v>
      </c>
      <c r="AT49" s="133">
        <v>1</v>
      </c>
      <c r="AU49" s="133">
        <v>1</v>
      </c>
      <c r="AV49" s="133">
        <v>1</v>
      </c>
      <c r="AW49" s="133">
        <v>1</v>
      </c>
      <c r="AX49" s="133">
        <v>1</v>
      </c>
      <c r="AY49" s="133">
        <v>1</v>
      </c>
      <c r="AZ49" s="133">
        <v>1</v>
      </c>
      <c r="BA49" s="133">
        <v>1</v>
      </c>
      <c r="BB49" s="133">
        <v>1</v>
      </c>
      <c r="BC49" s="133">
        <v>1</v>
      </c>
      <c r="BD49" s="133">
        <v>1</v>
      </c>
      <c r="BE49" s="133">
        <v>1</v>
      </c>
      <c r="BF49" s="135">
        <v>1</v>
      </c>
      <c r="BG49" s="135">
        <v>1</v>
      </c>
      <c r="BH49" s="135">
        <v>1</v>
      </c>
      <c r="BI49" s="135">
        <v>1</v>
      </c>
      <c r="BJ49" s="135">
        <v>1</v>
      </c>
      <c r="BK49" s="135">
        <v>1</v>
      </c>
    </row>
    <row r="50" spans="1:63" x14ac:dyDescent="0.35">
      <c r="A50" s="136" t="s">
        <v>13</v>
      </c>
      <c r="B50" s="127">
        <f>'Initial demand info'!F31</f>
        <v>30117.036370000005</v>
      </c>
      <c r="C50" s="128">
        <f t="shared" si="136"/>
        <v>26376.277834467499</v>
      </c>
      <c r="D50" s="128">
        <f t="shared" si="136"/>
        <v>22635.519298934993</v>
      </c>
      <c r="E50" s="128">
        <f t="shared" si="136"/>
        <v>18894.760763402486</v>
      </c>
      <c r="F50" s="128">
        <f t="shared" si="136"/>
        <v>15154.002227869982</v>
      </c>
      <c r="G50" s="133">
        <f>G$49*AL50</f>
        <v>11413.243692337483</v>
      </c>
      <c r="H50" s="133">
        <f t="shared" ref="H50:W54" si="142">H$49*AM50</f>
        <v>13087.029768662276</v>
      </c>
      <c r="I50" s="133">
        <f t="shared" si="142"/>
        <v>14797.069410793827</v>
      </c>
      <c r="J50" s="133">
        <f t="shared" si="142"/>
        <v>16545.581449970425</v>
      </c>
      <c r="K50" s="133">
        <f t="shared" si="142"/>
        <v>18334.969554142561</v>
      </c>
      <c r="L50" s="133">
        <f t="shared" si="142"/>
        <v>20167.841884296722</v>
      </c>
      <c r="M50" s="133">
        <f t="shared" si="142"/>
        <v>19805.940077790849</v>
      </c>
      <c r="N50" s="133">
        <f t="shared" si="142"/>
        <v>19444.038271284975</v>
      </c>
      <c r="O50" s="133">
        <f t="shared" si="142"/>
        <v>19082.136464779102</v>
      </c>
      <c r="P50" s="133">
        <f t="shared" si="142"/>
        <v>18720.234658273228</v>
      </c>
      <c r="Q50" s="133">
        <f t="shared" si="142"/>
        <v>18358.332851767354</v>
      </c>
      <c r="R50" s="133">
        <f t="shared" si="142"/>
        <v>18239.823584027119</v>
      </c>
      <c r="S50" s="133">
        <f t="shared" si="142"/>
        <v>18121.314316286884</v>
      </c>
      <c r="T50" s="133">
        <f t="shared" si="142"/>
        <v>18002.805048546648</v>
      </c>
      <c r="U50" s="133">
        <f t="shared" si="142"/>
        <v>17884.295780806417</v>
      </c>
      <c r="V50" s="133">
        <f t="shared" si="142"/>
        <v>17765.786513066181</v>
      </c>
      <c r="W50" s="133">
        <f t="shared" si="142"/>
        <v>17695.143506523484</v>
      </c>
      <c r="X50" s="133">
        <f t="shared" ref="X50:AF54" si="143">X$49*BC50</f>
        <v>17624.500499980786</v>
      </c>
      <c r="Y50" s="133">
        <f t="shared" si="143"/>
        <v>17553.857493438085</v>
      </c>
      <c r="Z50" s="133">
        <f t="shared" si="143"/>
        <v>17483.214486895387</v>
      </c>
      <c r="AA50" s="133">
        <f t="shared" si="143"/>
        <v>17412.571480352683</v>
      </c>
      <c r="AB50" s="133">
        <f t="shared" si="143"/>
        <v>17310.421450011912</v>
      </c>
      <c r="AC50" s="133">
        <f t="shared" si="143"/>
        <v>17208.271419671142</v>
      </c>
      <c r="AD50" s="133">
        <f t="shared" si="143"/>
        <v>17106.121389330372</v>
      </c>
      <c r="AE50" s="133">
        <f t="shared" si="143"/>
        <v>17003.971358989602</v>
      </c>
      <c r="AF50" s="133">
        <f t="shared" si="143"/>
        <v>16901.821328648835</v>
      </c>
      <c r="AG50" s="161">
        <f>B50/B$49</f>
        <v>0.15639970116387852</v>
      </c>
      <c r="AH50" s="161">
        <f t="shared" ref="AH50:AK54" si="144">C50/C$49</f>
        <v>0.13527224478612532</v>
      </c>
      <c r="AI50" s="161">
        <f t="shared" si="144"/>
        <v>0.11466322974352226</v>
      </c>
      <c r="AJ50" s="161">
        <f t="shared" si="144"/>
        <v>9.4553804480676545E-2</v>
      </c>
      <c r="AK50" s="161">
        <f t="shared" si="144"/>
        <v>7.4926020470166471E-2</v>
      </c>
      <c r="AL50" s="128">
        <v>5.5762778781304694E-2</v>
      </c>
      <c r="AM50" s="128">
        <v>6.455644791723171E-2</v>
      </c>
      <c r="AN50" s="128">
        <v>7.3701743483976359E-2</v>
      </c>
      <c r="AO50" s="128">
        <v>8.3220186115207234E-2</v>
      </c>
      <c r="AP50" s="128">
        <v>9.3135089191649589E-2</v>
      </c>
      <c r="AQ50" s="128">
        <v>0.10347174948944858</v>
      </c>
      <c r="AR50" s="128">
        <v>0.10347174948944858</v>
      </c>
      <c r="AS50" s="128">
        <v>0.10347174948944858</v>
      </c>
      <c r="AT50" s="128">
        <v>0.10347174948944858</v>
      </c>
      <c r="AU50" s="128">
        <v>0.10347174948944858</v>
      </c>
      <c r="AV50" s="128">
        <v>0.10347174948944858</v>
      </c>
      <c r="AW50" s="128">
        <v>0.10347174948944858</v>
      </c>
      <c r="AX50" s="128">
        <v>0.10347174948944858</v>
      </c>
      <c r="AY50" s="128">
        <v>0.10347174948944858</v>
      </c>
      <c r="AZ50" s="128">
        <v>0.10347174948944858</v>
      </c>
      <c r="BA50" s="128">
        <v>0.10347174948944858</v>
      </c>
      <c r="BB50" s="128">
        <v>0.10347174948944858</v>
      </c>
      <c r="BC50" s="128">
        <v>0.10347174948944858</v>
      </c>
      <c r="BD50" s="128">
        <v>0.10347174948944858</v>
      </c>
      <c r="BE50" s="128">
        <v>0.10347174948944858</v>
      </c>
      <c r="BF50" s="130">
        <v>0.10347174948944858</v>
      </c>
      <c r="BG50" s="130">
        <v>0.10347174948944858</v>
      </c>
      <c r="BH50" s="130">
        <v>0.10347174948944858</v>
      </c>
      <c r="BI50" s="130">
        <v>0.10347174948944858</v>
      </c>
      <c r="BJ50" s="130">
        <v>0.10347174948944858</v>
      </c>
      <c r="BK50" s="130">
        <v>0.10347174948944858</v>
      </c>
    </row>
    <row r="51" spans="1:63" x14ac:dyDescent="0.35">
      <c r="A51" s="131" t="s">
        <v>12</v>
      </c>
      <c r="B51" s="132">
        <f>'Initial demand info'!F32</f>
        <v>3405.97343</v>
      </c>
      <c r="C51" s="128">
        <f t="shared" si="136"/>
        <v>3876.859066086673</v>
      </c>
      <c r="D51" s="128">
        <f t="shared" si="136"/>
        <v>4347.744702173346</v>
      </c>
      <c r="E51" s="128">
        <f t="shared" si="136"/>
        <v>4818.630338260019</v>
      </c>
      <c r="F51" s="128">
        <f t="shared" si="136"/>
        <v>5289.515974346692</v>
      </c>
      <c r="G51" s="133">
        <f t="shared" ref="G51:G54" si="145">G$49*AL51</f>
        <v>5760.401610433365</v>
      </c>
      <c r="H51" s="133">
        <f t="shared" si="142"/>
        <v>5569.5213389235823</v>
      </c>
      <c r="I51" s="133">
        <f t="shared" si="142"/>
        <v>5375.8768315488105</v>
      </c>
      <c r="J51" s="133">
        <f t="shared" si="142"/>
        <v>5179.2989084573355</v>
      </c>
      <c r="K51" s="133">
        <f t="shared" si="142"/>
        <v>4979.6042965004781</v>
      </c>
      <c r="L51" s="133">
        <f t="shared" si="142"/>
        <v>4776.5941304913222</v>
      </c>
      <c r="M51" s="133">
        <f t="shared" si="142"/>
        <v>4690.8805447399318</v>
      </c>
      <c r="N51" s="133">
        <f t="shared" si="142"/>
        <v>4605.1669589885405</v>
      </c>
      <c r="O51" s="133">
        <f t="shared" si="142"/>
        <v>4519.4533732371501</v>
      </c>
      <c r="P51" s="133">
        <f t="shared" si="142"/>
        <v>4433.7397874857588</v>
      </c>
      <c r="Q51" s="133">
        <f t="shared" si="142"/>
        <v>4348.0262017343675</v>
      </c>
      <c r="R51" s="133">
        <f t="shared" si="142"/>
        <v>4319.9582172695755</v>
      </c>
      <c r="S51" s="133">
        <f t="shared" si="142"/>
        <v>4291.8902328047825</v>
      </c>
      <c r="T51" s="133">
        <f t="shared" si="142"/>
        <v>4263.8222483399904</v>
      </c>
      <c r="U51" s="133">
        <f t="shared" si="142"/>
        <v>4235.7542638751984</v>
      </c>
      <c r="V51" s="133">
        <f t="shared" si="142"/>
        <v>4207.6862794104063</v>
      </c>
      <c r="W51" s="133">
        <f t="shared" si="142"/>
        <v>4190.9550410187139</v>
      </c>
      <c r="X51" s="133">
        <f t="shared" si="143"/>
        <v>4174.2238026270225</v>
      </c>
      <c r="Y51" s="133">
        <f t="shared" si="143"/>
        <v>4157.492564235331</v>
      </c>
      <c r="Z51" s="133">
        <f t="shared" si="143"/>
        <v>4140.7613258436386</v>
      </c>
      <c r="AA51" s="133">
        <f t="shared" si="143"/>
        <v>4124.0300874519453</v>
      </c>
      <c r="AB51" s="133">
        <f t="shared" si="143"/>
        <v>4099.8366592133425</v>
      </c>
      <c r="AC51" s="133">
        <f t="shared" si="143"/>
        <v>4075.6432309747388</v>
      </c>
      <c r="AD51" s="133">
        <f t="shared" si="143"/>
        <v>4051.4498027361356</v>
      </c>
      <c r="AE51" s="133">
        <f t="shared" si="143"/>
        <v>4027.2563744975323</v>
      </c>
      <c r="AF51" s="133">
        <f t="shared" si="143"/>
        <v>4003.0629462589295</v>
      </c>
      <c r="AG51" s="161">
        <f t="shared" ref="AG51:AG54" si="146">B51/B$49</f>
        <v>1.7687438434504578E-2</v>
      </c>
      <c r="AH51" s="161">
        <f t="shared" si="144"/>
        <v>1.9882692769624944E-2</v>
      </c>
      <c r="AI51" s="161">
        <f t="shared" si="144"/>
        <v>2.2024078311070158E-2</v>
      </c>
      <c r="AJ51" s="161">
        <f t="shared" si="144"/>
        <v>2.4113553835039301E-2</v>
      </c>
      <c r="AK51" s="161">
        <f t="shared" si="144"/>
        <v>2.6152984288354504E-2</v>
      </c>
      <c r="AL51" s="133">
        <v>2.8144146340248744E-2</v>
      </c>
      <c r="AM51" s="133">
        <v>2.7473652967542918E-2</v>
      </c>
      <c r="AN51" s="133">
        <v>2.6776349035116557E-2</v>
      </c>
      <c r="AO51" s="133">
        <v>2.6050593653139918E-2</v>
      </c>
      <c r="AP51" s="133">
        <v>2.5294609239692414E-2</v>
      </c>
      <c r="AQ51" s="133">
        <v>2.4506466984343053E-2</v>
      </c>
      <c r="AR51" s="133">
        <v>2.4506466984343053E-2</v>
      </c>
      <c r="AS51" s="133">
        <v>2.4506466984343053E-2</v>
      </c>
      <c r="AT51" s="133">
        <v>2.4506466984343053E-2</v>
      </c>
      <c r="AU51" s="133">
        <v>2.4506466984343053E-2</v>
      </c>
      <c r="AV51" s="133">
        <v>2.4506466984343053E-2</v>
      </c>
      <c r="AW51" s="133">
        <v>2.4506466984343053E-2</v>
      </c>
      <c r="AX51" s="133">
        <v>2.4506466984343053E-2</v>
      </c>
      <c r="AY51" s="133">
        <v>2.4506466984343053E-2</v>
      </c>
      <c r="AZ51" s="133">
        <v>2.4506466984343053E-2</v>
      </c>
      <c r="BA51" s="133">
        <v>2.4506466984343053E-2</v>
      </c>
      <c r="BB51" s="133">
        <v>2.4506466984343053E-2</v>
      </c>
      <c r="BC51" s="133">
        <v>2.4506466984343053E-2</v>
      </c>
      <c r="BD51" s="133">
        <v>2.4506466984343053E-2</v>
      </c>
      <c r="BE51" s="133">
        <v>2.4506466984343053E-2</v>
      </c>
      <c r="BF51" s="135">
        <v>2.4506466984343053E-2</v>
      </c>
      <c r="BG51" s="135">
        <v>2.4506466984343053E-2</v>
      </c>
      <c r="BH51" s="135">
        <v>2.4506466984343053E-2</v>
      </c>
      <c r="BI51" s="135">
        <v>2.4506466984343053E-2</v>
      </c>
      <c r="BJ51" s="135">
        <v>2.4506466984343053E-2</v>
      </c>
      <c r="BK51" s="135">
        <v>2.4506466984343053E-2</v>
      </c>
    </row>
    <row r="52" spans="1:63" x14ac:dyDescent="0.35">
      <c r="A52" s="136" t="s">
        <v>11</v>
      </c>
      <c r="B52" s="127">
        <f>'Initial demand info'!F33</f>
        <v>75259.253530000002</v>
      </c>
      <c r="C52" s="128">
        <f t="shared" si="136"/>
        <v>80209.612903676651</v>
      </c>
      <c r="D52" s="128">
        <f t="shared" si="136"/>
        <v>85159.972277353299</v>
      </c>
      <c r="E52" s="128">
        <f t="shared" si="136"/>
        <v>90110.331651029948</v>
      </c>
      <c r="F52" s="128">
        <f t="shared" si="136"/>
        <v>95060.691024706597</v>
      </c>
      <c r="G52" s="133">
        <f t="shared" si="145"/>
        <v>100011.05039838326</v>
      </c>
      <c r="H52" s="133">
        <f t="shared" si="142"/>
        <v>99850.444135038619</v>
      </c>
      <c r="I52" s="133">
        <f t="shared" si="142"/>
        <v>99705.975717943118</v>
      </c>
      <c r="J52" s="133">
        <f t="shared" si="142"/>
        <v>99578.632833592681</v>
      </c>
      <c r="K52" s="133">
        <f t="shared" si="142"/>
        <v>99469.485446360617</v>
      </c>
      <c r="L52" s="133">
        <f t="shared" si="142"/>
        <v>99379.694548277956</v>
      </c>
      <c r="M52" s="133">
        <f t="shared" si="142"/>
        <v>97596.375778061512</v>
      </c>
      <c r="N52" s="133">
        <f t="shared" si="142"/>
        <v>95813.057007845069</v>
      </c>
      <c r="O52" s="133">
        <f t="shared" si="142"/>
        <v>94029.738237628626</v>
      </c>
      <c r="P52" s="133">
        <f t="shared" si="142"/>
        <v>92246.419467412183</v>
      </c>
      <c r="Q52" s="133">
        <f t="shared" si="142"/>
        <v>90463.100697195739</v>
      </c>
      <c r="R52" s="133">
        <f t="shared" si="142"/>
        <v>89879.130687081037</v>
      </c>
      <c r="S52" s="133">
        <f t="shared" si="142"/>
        <v>89295.160676966319</v>
      </c>
      <c r="T52" s="133">
        <f t="shared" si="142"/>
        <v>88711.190666851602</v>
      </c>
      <c r="U52" s="133">
        <f t="shared" si="142"/>
        <v>88127.220656736899</v>
      </c>
      <c r="V52" s="133">
        <f t="shared" si="142"/>
        <v>87543.250646622197</v>
      </c>
      <c r="W52" s="133">
        <f t="shared" si="142"/>
        <v>87195.147936750611</v>
      </c>
      <c r="X52" s="133">
        <f t="shared" si="143"/>
        <v>86847.045226879025</v>
      </c>
      <c r="Y52" s="133">
        <f t="shared" si="143"/>
        <v>86498.942517007439</v>
      </c>
      <c r="Z52" s="133">
        <f t="shared" si="143"/>
        <v>86150.839807135839</v>
      </c>
      <c r="AA52" s="133">
        <f t="shared" si="143"/>
        <v>85802.737097264224</v>
      </c>
      <c r="AB52" s="133">
        <f t="shared" si="143"/>
        <v>85299.379381966617</v>
      </c>
      <c r="AC52" s="133">
        <f t="shared" si="143"/>
        <v>84796.02166666901</v>
      </c>
      <c r="AD52" s="133">
        <f t="shared" si="143"/>
        <v>84292.663951371404</v>
      </c>
      <c r="AE52" s="133">
        <f t="shared" si="143"/>
        <v>83789.306236073782</v>
      </c>
      <c r="AF52" s="133">
        <f t="shared" si="143"/>
        <v>83285.94852077619</v>
      </c>
      <c r="AG52" s="161">
        <f t="shared" si="146"/>
        <v>0.39082612967965707</v>
      </c>
      <c r="AH52" s="161">
        <f t="shared" si="144"/>
        <v>0.41135957313612947</v>
      </c>
      <c r="AI52" s="161">
        <f t="shared" si="144"/>
        <v>0.43138915159103863</v>
      </c>
      <c r="AJ52" s="161">
        <f t="shared" si="144"/>
        <v>0.45093318657537268</v>
      </c>
      <c r="AK52" s="161">
        <f t="shared" si="144"/>
        <v>0.47000912198139916</v>
      </c>
      <c r="AL52" s="128">
        <v>0.48863357599164592</v>
      </c>
      <c r="AM52" s="128">
        <v>0.49254797385357885</v>
      </c>
      <c r="AN52" s="128">
        <v>0.49661889406445581</v>
      </c>
      <c r="AO52" s="128">
        <v>0.5008559162799493</v>
      </c>
      <c r="AP52" s="128">
        <v>0.50526941817589099</v>
      </c>
      <c r="AQ52" s="128">
        <v>0.50987066031313821</v>
      </c>
      <c r="AR52" s="128">
        <v>0.50987066031313821</v>
      </c>
      <c r="AS52" s="128">
        <v>0.50987066031313821</v>
      </c>
      <c r="AT52" s="128">
        <v>0.50987066031313821</v>
      </c>
      <c r="AU52" s="128">
        <v>0.50987066031313821</v>
      </c>
      <c r="AV52" s="128">
        <v>0.50987066031313821</v>
      </c>
      <c r="AW52" s="128">
        <v>0.50987066031313821</v>
      </c>
      <c r="AX52" s="128">
        <v>0.50987066031313821</v>
      </c>
      <c r="AY52" s="128">
        <v>0.50987066031313821</v>
      </c>
      <c r="AZ52" s="128">
        <v>0.50987066031313821</v>
      </c>
      <c r="BA52" s="128">
        <v>0.50987066031313821</v>
      </c>
      <c r="BB52" s="128">
        <v>0.50987066031313821</v>
      </c>
      <c r="BC52" s="128">
        <v>0.50987066031313821</v>
      </c>
      <c r="BD52" s="128">
        <v>0.50987066031313821</v>
      </c>
      <c r="BE52" s="128">
        <v>0.50987066031313821</v>
      </c>
      <c r="BF52" s="130">
        <v>0.50987066031313821</v>
      </c>
      <c r="BG52" s="130">
        <v>0.50987066031313821</v>
      </c>
      <c r="BH52" s="130">
        <v>0.50987066031313821</v>
      </c>
      <c r="BI52" s="130">
        <v>0.50987066031313821</v>
      </c>
      <c r="BJ52" s="130">
        <v>0.50987066031313821</v>
      </c>
      <c r="BK52" s="130">
        <v>0.50987066031313821</v>
      </c>
    </row>
    <row r="53" spans="1:63" x14ac:dyDescent="0.35">
      <c r="A53" s="131" t="s">
        <v>9</v>
      </c>
      <c r="B53" s="132">
        <f>'Initial demand info'!F34</f>
        <v>77807.363270000002</v>
      </c>
      <c r="C53" s="128">
        <f t="shared" si="136"/>
        <v>74618.838010024381</v>
      </c>
      <c r="D53" s="128">
        <f t="shared" si="136"/>
        <v>71430.312750048761</v>
      </c>
      <c r="E53" s="128">
        <f t="shared" si="136"/>
        <v>68241.78749007314</v>
      </c>
      <c r="F53" s="128">
        <f t="shared" si="136"/>
        <v>65053.26223009752</v>
      </c>
      <c r="G53" s="133">
        <f t="shared" si="145"/>
        <v>61864.7369701219</v>
      </c>
      <c r="H53" s="133">
        <f t="shared" si="142"/>
        <v>58908.521534965257</v>
      </c>
      <c r="I53" s="133">
        <f t="shared" si="142"/>
        <v>55904.18954905992</v>
      </c>
      <c r="J53" s="133">
        <f t="shared" si="142"/>
        <v>52848.796129509428</v>
      </c>
      <c r="K53" s="133">
        <f t="shared" si="142"/>
        <v>49739.1510739613</v>
      </c>
      <c r="L53" s="133">
        <f t="shared" si="142"/>
        <v>46571.792772290464</v>
      </c>
      <c r="M53" s="133">
        <f t="shared" si="142"/>
        <v>45736.085311214403</v>
      </c>
      <c r="N53" s="133">
        <f t="shared" si="142"/>
        <v>44900.377850138342</v>
      </c>
      <c r="O53" s="133">
        <f t="shared" si="142"/>
        <v>44064.670389062281</v>
      </c>
      <c r="P53" s="133">
        <f t="shared" si="142"/>
        <v>43228.96292798622</v>
      </c>
      <c r="Q53" s="133">
        <f t="shared" si="142"/>
        <v>42393.255466910152</v>
      </c>
      <c r="R53" s="133">
        <f t="shared" si="142"/>
        <v>42119.592618378425</v>
      </c>
      <c r="S53" s="133">
        <f t="shared" si="142"/>
        <v>41845.929769846698</v>
      </c>
      <c r="T53" s="133">
        <f t="shared" si="142"/>
        <v>41572.266921314971</v>
      </c>
      <c r="U53" s="133">
        <f t="shared" si="142"/>
        <v>41298.604072783244</v>
      </c>
      <c r="V53" s="133">
        <f t="shared" si="142"/>
        <v>41024.941224251525</v>
      </c>
      <c r="W53" s="133">
        <f t="shared" si="142"/>
        <v>40861.811649932526</v>
      </c>
      <c r="X53" s="133">
        <f t="shared" si="143"/>
        <v>40698.682075613535</v>
      </c>
      <c r="Y53" s="133">
        <f t="shared" si="143"/>
        <v>40535.552501294536</v>
      </c>
      <c r="Z53" s="133">
        <f t="shared" si="143"/>
        <v>40372.422926975545</v>
      </c>
      <c r="AA53" s="133">
        <f t="shared" si="143"/>
        <v>40209.293352656532</v>
      </c>
      <c r="AB53" s="133">
        <f t="shared" si="143"/>
        <v>39973.407427330152</v>
      </c>
      <c r="AC53" s="133">
        <f t="shared" si="143"/>
        <v>39737.521502003765</v>
      </c>
      <c r="AD53" s="133">
        <f t="shared" si="143"/>
        <v>39501.635576677385</v>
      </c>
      <c r="AE53" s="133">
        <f t="shared" si="143"/>
        <v>39265.749651350998</v>
      </c>
      <c r="AF53" s="133">
        <f t="shared" si="143"/>
        <v>39029.863726024625</v>
      </c>
      <c r="AG53" s="161">
        <f t="shared" si="146"/>
        <v>0.40405862696035705</v>
      </c>
      <c r="AH53" s="161">
        <f t="shared" si="144"/>
        <v>0.38268696532146729</v>
      </c>
      <c r="AI53" s="161">
        <f t="shared" si="144"/>
        <v>0.36183973750917436</v>
      </c>
      <c r="AJ53" s="161">
        <f t="shared" si="144"/>
        <v>0.34149787406920901</v>
      </c>
      <c r="AK53" s="161">
        <f t="shared" si="144"/>
        <v>0.32164321901307391</v>
      </c>
      <c r="AL53" s="133">
        <v>0.30225847576921278</v>
      </c>
      <c r="AM53" s="133">
        <v>0.29058731962690665</v>
      </c>
      <c r="AN53" s="133">
        <v>0.27844947694973105</v>
      </c>
      <c r="AO53" s="133">
        <v>0.26581638506697991</v>
      </c>
      <c r="AP53" s="133">
        <v>0.25265710193359292</v>
      </c>
      <c r="AQ53" s="133">
        <v>0.23893805309734514</v>
      </c>
      <c r="AR53" s="133">
        <v>0.23893805309734514</v>
      </c>
      <c r="AS53" s="133">
        <v>0.23893805309734514</v>
      </c>
      <c r="AT53" s="133">
        <v>0.23893805309734514</v>
      </c>
      <c r="AU53" s="133">
        <v>0.23893805309734514</v>
      </c>
      <c r="AV53" s="133">
        <v>0.23893805309734514</v>
      </c>
      <c r="AW53" s="133">
        <v>0.23893805309734514</v>
      </c>
      <c r="AX53" s="133">
        <v>0.23893805309734514</v>
      </c>
      <c r="AY53" s="133">
        <v>0.23893805309734514</v>
      </c>
      <c r="AZ53" s="133">
        <v>0.23893805309734514</v>
      </c>
      <c r="BA53" s="133">
        <v>0.23893805309734514</v>
      </c>
      <c r="BB53" s="133">
        <v>0.23893805309734514</v>
      </c>
      <c r="BC53" s="133">
        <v>0.23893805309734514</v>
      </c>
      <c r="BD53" s="133">
        <v>0.23893805309734514</v>
      </c>
      <c r="BE53" s="133">
        <v>0.23893805309734514</v>
      </c>
      <c r="BF53" s="135">
        <v>0.23893805309734514</v>
      </c>
      <c r="BG53" s="135">
        <v>0.23893805309734514</v>
      </c>
      <c r="BH53" s="135">
        <v>0.23893805309734514</v>
      </c>
      <c r="BI53" s="135">
        <v>0.23893805309734514</v>
      </c>
      <c r="BJ53" s="135">
        <v>0.23893805309734514</v>
      </c>
      <c r="BK53" s="135">
        <v>0.23893805309734514</v>
      </c>
    </row>
    <row r="54" spans="1:63" x14ac:dyDescent="0.35">
      <c r="A54" s="136" t="s">
        <v>10</v>
      </c>
      <c r="B54" s="127">
        <f>'Initial demand info'!F35</f>
        <v>5974.9125000000004</v>
      </c>
      <c r="C54" s="128">
        <f t="shared" si="136"/>
        <v>9905.032509597615</v>
      </c>
      <c r="D54" s="128">
        <f t="shared" si="136"/>
        <v>13835.152519195228</v>
      </c>
      <c r="E54" s="128">
        <f t="shared" si="136"/>
        <v>17765.272528792841</v>
      </c>
      <c r="F54" s="128">
        <f t="shared" si="136"/>
        <v>21695.392538390453</v>
      </c>
      <c r="G54" s="133">
        <f t="shared" si="145"/>
        <v>25625.51254798807</v>
      </c>
      <c r="H54" s="133">
        <f t="shared" si="142"/>
        <v>25306.75482944242</v>
      </c>
      <c r="I54" s="133">
        <f t="shared" si="142"/>
        <v>24986.486485454549</v>
      </c>
      <c r="J54" s="133">
        <f t="shared" si="142"/>
        <v>24664.615061038421</v>
      </c>
      <c r="K54" s="133">
        <f t="shared" si="142"/>
        <v>24341.040399371395</v>
      </c>
      <c r="L54" s="133">
        <f t="shared" si="142"/>
        <v>24015.653822748074</v>
      </c>
      <c r="M54" s="133">
        <f t="shared" si="142"/>
        <v>23584.70496105358</v>
      </c>
      <c r="N54" s="133">
        <f t="shared" si="142"/>
        <v>23153.756099359085</v>
      </c>
      <c r="O54" s="133">
        <f t="shared" si="142"/>
        <v>22722.807237664594</v>
      </c>
      <c r="P54" s="133">
        <f t="shared" si="142"/>
        <v>22291.8583759701</v>
      </c>
      <c r="Q54" s="133">
        <f t="shared" si="142"/>
        <v>21860.909514275605</v>
      </c>
      <c r="R54" s="133">
        <f t="shared" si="142"/>
        <v>21719.789925716508</v>
      </c>
      <c r="S54" s="133">
        <f t="shared" si="142"/>
        <v>21578.670337157415</v>
      </c>
      <c r="T54" s="133">
        <f t="shared" si="142"/>
        <v>21437.550748598318</v>
      </c>
      <c r="U54" s="133">
        <f t="shared" si="142"/>
        <v>21296.431160039221</v>
      </c>
      <c r="V54" s="133">
        <f t="shared" si="142"/>
        <v>21155.311571480128</v>
      </c>
      <c r="W54" s="133">
        <f t="shared" si="142"/>
        <v>21071.190622899678</v>
      </c>
      <c r="X54" s="133">
        <f t="shared" si="143"/>
        <v>20987.069674319227</v>
      </c>
      <c r="Y54" s="133">
        <f t="shared" si="143"/>
        <v>20902.948725738777</v>
      </c>
      <c r="Z54" s="133">
        <f t="shared" si="143"/>
        <v>20818.827777158327</v>
      </c>
      <c r="AA54" s="133">
        <f t="shared" si="143"/>
        <v>20734.70682857787</v>
      </c>
      <c r="AB54" s="133">
        <f t="shared" si="143"/>
        <v>20613.067647711556</v>
      </c>
      <c r="AC54" s="133">
        <f t="shared" si="143"/>
        <v>20491.428466845246</v>
      </c>
      <c r="AD54" s="133">
        <f t="shared" si="143"/>
        <v>20369.789285978935</v>
      </c>
      <c r="AE54" s="133">
        <f t="shared" si="143"/>
        <v>20248.150105112622</v>
      </c>
      <c r="AF54" s="133">
        <f t="shared" si="143"/>
        <v>20126.510924246315</v>
      </c>
      <c r="AG54" s="161">
        <f t="shared" si="146"/>
        <v>3.1028103761602695E-2</v>
      </c>
      <c r="AH54" s="161">
        <f t="shared" si="144"/>
        <v>5.0798523986652876E-2</v>
      </c>
      <c r="AI54" s="161">
        <f t="shared" si="144"/>
        <v>7.0083802845194415E-2</v>
      </c>
      <c r="AJ54" s="161">
        <f t="shared" si="144"/>
        <v>8.8901581039702249E-2</v>
      </c>
      <c r="AK54" s="161">
        <f t="shared" si="144"/>
        <v>0.10726865424700575</v>
      </c>
      <c r="AL54" s="128">
        <v>0.12520102311758763</v>
      </c>
      <c r="AM54" s="128">
        <v>0.12483460563473953</v>
      </c>
      <c r="AN54" s="128">
        <v>0.12445353646671978</v>
      </c>
      <c r="AO54" s="128">
        <v>0.12405691888472314</v>
      </c>
      <c r="AP54" s="128">
        <v>0.12364378145917342</v>
      </c>
      <c r="AQ54" s="128">
        <v>0.12321307011572498</v>
      </c>
      <c r="AR54" s="128">
        <v>0.12321307011572498</v>
      </c>
      <c r="AS54" s="128">
        <v>0.12321307011572498</v>
      </c>
      <c r="AT54" s="128">
        <v>0.12321307011572498</v>
      </c>
      <c r="AU54" s="128">
        <v>0.12321307011572498</v>
      </c>
      <c r="AV54" s="128">
        <v>0.12321307011572498</v>
      </c>
      <c r="AW54" s="128">
        <v>0.12321307011572498</v>
      </c>
      <c r="AX54" s="128">
        <v>0.12321307011572498</v>
      </c>
      <c r="AY54" s="128">
        <v>0.12321307011572498</v>
      </c>
      <c r="AZ54" s="128">
        <v>0.12321307011572498</v>
      </c>
      <c r="BA54" s="128">
        <v>0.12321307011572498</v>
      </c>
      <c r="BB54" s="128">
        <v>0.12321307011572498</v>
      </c>
      <c r="BC54" s="128">
        <v>0.12321307011572498</v>
      </c>
      <c r="BD54" s="128">
        <v>0.12321307011572498</v>
      </c>
      <c r="BE54" s="128">
        <v>0.12321307011572498</v>
      </c>
      <c r="BF54" s="130">
        <v>0.12321307011572498</v>
      </c>
      <c r="BG54" s="130">
        <v>0.12321307011572498</v>
      </c>
      <c r="BH54" s="130">
        <v>0.12321307011572498</v>
      </c>
      <c r="BI54" s="130">
        <v>0.12321307011572498</v>
      </c>
      <c r="BJ54" s="130">
        <v>0.12321307011572498</v>
      </c>
      <c r="BK54" s="130">
        <v>0.12321307011572498</v>
      </c>
    </row>
    <row r="55" spans="1:63" x14ac:dyDescent="0.35">
      <c r="A55" s="131"/>
      <c r="B55" s="132"/>
      <c r="C55" s="128"/>
      <c r="D55" s="128"/>
      <c r="E55" s="128"/>
      <c r="F55" s="128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5"/>
      <c r="BG55" s="135"/>
      <c r="BH55" s="135"/>
      <c r="BI55" s="135"/>
      <c r="BJ55" s="135"/>
      <c r="BK55" s="135"/>
    </row>
    <row r="56" spans="1:63" x14ac:dyDescent="0.35">
      <c r="A56" s="126" t="s">
        <v>53</v>
      </c>
      <c r="B56" s="128">
        <v>342052.6</v>
      </c>
      <c r="C56" s="128">
        <f t="shared" ref="C56:F61" si="147">B56+($G56-$B56)/5</f>
        <v>342052.6</v>
      </c>
      <c r="D56" s="128">
        <f t="shared" si="147"/>
        <v>342052.6</v>
      </c>
      <c r="E56" s="128">
        <f t="shared" si="147"/>
        <v>342052.6</v>
      </c>
      <c r="F56" s="128">
        <f t="shared" si="147"/>
        <v>342052.6</v>
      </c>
      <c r="G56" s="159">
        <f>'Initial demand info'!K37</f>
        <v>342052.6</v>
      </c>
      <c r="H56" s="128">
        <f>G56+($L56-$G56)/5</f>
        <v>342052.6</v>
      </c>
      <c r="I56" s="128">
        <f t="shared" ref="I56:K56" si="148">H56+($L56-$G56)/5</f>
        <v>342052.6</v>
      </c>
      <c r="J56" s="128">
        <f t="shared" si="148"/>
        <v>342052.6</v>
      </c>
      <c r="K56" s="128">
        <f t="shared" si="148"/>
        <v>342052.6</v>
      </c>
      <c r="L56" s="127">
        <f>'Initial demand info'!L37</f>
        <v>342052.6</v>
      </c>
      <c r="M56" s="128">
        <f>L56+($Q56-$L56)/5</f>
        <v>342052.59999999992</v>
      </c>
      <c r="N56" s="128">
        <f t="shared" ref="N56:P56" si="149">M56+($Q56-$L56)/5</f>
        <v>342052.59999999986</v>
      </c>
      <c r="O56" s="128">
        <f t="shared" si="149"/>
        <v>342052.5999999998</v>
      </c>
      <c r="P56" s="128">
        <f t="shared" si="149"/>
        <v>342052.59999999974</v>
      </c>
      <c r="Q56" s="128">
        <v>342052.59999999974</v>
      </c>
      <c r="R56" s="128">
        <f>Q56+($V56-$Q56)/5</f>
        <v>342052.59999999974</v>
      </c>
      <c r="S56" s="128">
        <f t="shared" ref="S56:U56" si="150">R56+($V56-$Q56)/5</f>
        <v>342052.59999999974</v>
      </c>
      <c r="T56" s="128">
        <f t="shared" si="150"/>
        <v>342052.59999999974</v>
      </c>
      <c r="U56" s="128">
        <f t="shared" si="150"/>
        <v>342052.59999999974</v>
      </c>
      <c r="V56" s="128">
        <v>342052.59999999974</v>
      </c>
      <c r="W56" s="128">
        <f>V56+($AA56-$V56)/5</f>
        <v>342052.59999999974</v>
      </c>
      <c r="X56" s="128">
        <f t="shared" ref="X56:Z56" si="151">W56+($AA56-$V56)/5</f>
        <v>342052.59999999974</v>
      </c>
      <c r="Y56" s="128">
        <f t="shared" si="151"/>
        <v>342052.59999999974</v>
      </c>
      <c r="Z56" s="128">
        <f t="shared" si="151"/>
        <v>342052.59999999974</v>
      </c>
      <c r="AA56" s="128">
        <v>342052.59999999974</v>
      </c>
      <c r="AB56" s="128">
        <f>AA56+($AF56-$AA56)/5</f>
        <v>342052.59999999974</v>
      </c>
      <c r="AC56" s="128">
        <f t="shared" ref="AC56:AE56" si="152">AB56+($AF56-$AA56)/5</f>
        <v>342052.59999999974</v>
      </c>
      <c r="AD56" s="128">
        <f t="shared" si="152"/>
        <v>342052.59999999974</v>
      </c>
      <c r="AE56" s="128">
        <f t="shared" si="152"/>
        <v>342052.59999999974</v>
      </c>
      <c r="AF56" s="128">
        <v>342052.59999999974</v>
      </c>
      <c r="AG56" s="128">
        <f>SUM(AG57:AG61)</f>
        <v>1</v>
      </c>
      <c r="AH56" s="128">
        <f t="shared" ref="AH56:BK56" si="153">SUM(AH57:AH61)</f>
        <v>1</v>
      </c>
      <c r="AI56" s="128">
        <f t="shared" si="153"/>
        <v>1</v>
      </c>
      <c r="AJ56" s="128">
        <f t="shared" si="153"/>
        <v>1</v>
      </c>
      <c r="AK56" s="128">
        <f t="shared" si="153"/>
        <v>1</v>
      </c>
      <c r="AL56" s="128">
        <f t="shared" si="153"/>
        <v>1</v>
      </c>
      <c r="AM56" s="128">
        <f t="shared" si="153"/>
        <v>1</v>
      </c>
      <c r="AN56" s="128">
        <f t="shared" si="153"/>
        <v>1</v>
      </c>
      <c r="AO56" s="128">
        <f t="shared" si="153"/>
        <v>1</v>
      </c>
      <c r="AP56" s="128">
        <f t="shared" si="153"/>
        <v>1</v>
      </c>
      <c r="AQ56" s="128">
        <f t="shared" si="153"/>
        <v>1</v>
      </c>
      <c r="AR56" s="128">
        <f t="shared" si="153"/>
        <v>1</v>
      </c>
      <c r="AS56" s="128">
        <f t="shared" si="153"/>
        <v>1</v>
      </c>
      <c r="AT56" s="128">
        <f t="shared" si="153"/>
        <v>1</v>
      </c>
      <c r="AU56" s="128">
        <f t="shared" si="153"/>
        <v>1</v>
      </c>
      <c r="AV56" s="128">
        <f t="shared" si="153"/>
        <v>1</v>
      </c>
      <c r="AW56" s="128">
        <f t="shared" si="153"/>
        <v>1</v>
      </c>
      <c r="AX56" s="128">
        <f t="shared" si="153"/>
        <v>1</v>
      </c>
      <c r="AY56" s="128">
        <f t="shared" si="153"/>
        <v>1</v>
      </c>
      <c r="AZ56" s="128">
        <f t="shared" si="153"/>
        <v>1</v>
      </c>
      <c r="BA56" s="128">
        <f t="shared" si="153"/>
        <v>1</v>
      </c>
      <c r="BB56" s="128">
        <f t="shared" si="153"/>
        <v>1</v>
      </c>
      <c r="BC56" s="128">
        <f t="shared" si="153"/>
        <v>1</v>
      </c>
      <c r="BD56" s="128">
        <f t="shared" si="153"/>
        <v>1</v>
      </c>
      <c r="BE56" s="128">
        <f t="shared" si="153"/>
        <v>1</v>
      </c>
      <c r="BF56" s="130">
        <f t="shared" si="153"/>
        <v>1</v>
      </c>
      <c r="BG56" s="130">
        <f t="shared" si="153"/>
        <v>1</v>
      </c>
      <c r="BH56" s="130">
        <f t="shared" si="153"/>
        <v>1</v>
      </c>
      <c r="BI56" s="130">
        <f t="shared" si="153"/>
        <v>1</v>
      </c>
      <c r="BJ56" s="130">
        <f t="shared" si="153"/>
        <v>1</v>
      </c>
      <c r="BK56" s="130">
        <f t="shared" si="153"/>
        <v>1</v>
      </c>
    </row>
    <row r="57" spans="1:63" x14ac:dyDescent="0.35">
      <c r="A57" s="149" t="s">
        <v>11</v>
      </c>
      <c r="B57" s="133">
        <v>5833.7017054984371</v>
      </c>
      <c r="C57" s="128">
        <f t="shared" si="147"/>
        <v>5833.7017054984371</v>
      </c>
      <c r="D57" s="128">
        <f t="shared" si="147"/>
        <v>5833.7017054984371</v>
      </c>
      <c r="E57" s="128">
        <f t="shared" si="147"/>
        <v>5833.7017054984371</v>
      </c>
      <c r="F57" s="128">
        <f t="shared" si="147"/>
        <v>5833.7017054984371</v>
      </c>
      <c r="G57" s="133">
        <f>G$56*AL57</f>
        <v>5833.7017054984371</v>
      </c>
      <c r="H57" s="133">
        <f t="shared" ref="H57:W61" si="154">H$56*AM57</f>
        <v>5833.7017054984371</v>
      </c>
      <c r="I57" s="133">
        <f t="shared" si="154"/>
        <v>5833.7017054984371</v>
      </c>
      <c r="J57" s="133">
        <f t="shared" si="154"/>
        <v>5833.7017054984371</v>
      </c>
      <c r="K57" s="133">
        <f t="shared" si="154"/>
        <v>5833.7017054984371</v>
      </c>
      <c r="L57" s="133">
        <f t="shared" si="154"/>
        <v>5833.7017054984371</v>
      </c>
      <c r="M57" s="133">
        <f t="shared" si="154"/>
        <v>5833.7017054984353</v>
      </c>
      <c r="N57" s="133">
        <f t="shared" si="154"/>
        <v>5833.7017054984344</v>
      </c>
      <c r="O57" s="133">
        <f t="shared" si="154"/>
        <v>5833.7017054984335</v>
      </c>
      <c r="P57" s="133">
        <f t="shared" si="154"/>
        <v>5833.7017054984326</v>
      </c>
      <c r="Q57" s="133">
        <f t="shared" si="154"/>
        <v>5833.7017054984326</v>
      </c>
      <c r="R57" s="133">
        <f t="shared" si="154"/>
        <v>5833.7017054984326</v>
      </c>
      <c r="S57" s="133">
        <f t="shared" si="154"/>
        <v>5833.7017054984326</v>
      </c>
      <c r="T57" s="133">
        <f t="shared" si="154"/>
        <v>5833.7017054984326</v>
      </c>
      <c r="U57" s="133">
        <f t="shared" si="154"/>
        <v>5833.7017054984326</v>
      </c>
      <c r="V57" s="133">
        <f t="shared" si="154"/>
        <v>5833.7017054984326</v>
      </c>
      <c r="W57" s="133">
        <f t="shared" si="154"/>
        <v>5833.7017054984326</v>
      </c>
      <c r="X57" s="133">
        <f t="shared" ref="X57:AF61" si="155">X$56*BC57</f>
        <v>5833.7017054984326</v>
      </c>
      <c r="Y57" s="133">
        <f t="shared" si="155"/>
        <v>5833.7017054984326</v>
      </c>
      <c r="Z57" s="133">
        <f t="shared" si="155"/>
        <v>5833.7017054984326</v>
      </c>
      <c r="AA57" s="133">
        <f t="shared" si="155"/>
        <v>5833.7017054984326</v>
      </c>
      <c r="AB57" s="133">
        <f t="shared" si="155"/>
        <v>5833.7017054984326</v>
      </c>
      <c r="AC57" s="133">
        <f t="shared" si="155"/>
        <v>5833.7017054984326</v>
      </c>
      <c r="AD57" s="133">
        <f t="shared" si="155"/>
        <v>5833.7017054984326</v>
      </c>
      <c r="AE57" s="133">
        <f t="shared" si="155"/>
        <v>5833.7017054984326</v>
      </c>
      <c r="AF57" s="133">
        <f t="shared" si="155"/>
        <v>5833.7017054984326</v>
      </c>
      <c r="AG57" s="161">
        <f>B57/B$56</f>
        <v>1.70549842494939E-2</v>
      </c>
      <c r="AH57" s="161">
        <f t="shared" ref="AH57:AK61" si="156">C57/C$56</f>
        <v>1.70549842494939E-2</v>
      </c>
      <c r="AI57" s="161">
        <f t="shared" si="156"/>
        <v>1.70549842494939E-2</v>
      </c>
      <c r="AJ57" s="161">
        <f t="shared" si="156"/>
        <v>1.70549842494939E-2</v>
      </c>
      <c r="AK57" s="161">
        <f t="shared" si="156"/>
        <v>1.70549842494939E-2</v>
      </c>
      <c r="AL57" s="133">
        <v>1.70549842494939E-2</v>
      </c>
      <c r="AM57" s="133">
        <v>1.70549842494939E-2</v>
      </c>
      <c r="AN57" s="133">
        <v>1.70549842494939E-2</v>
      </c>
      <c r="AO57" s="133">
        <v>1.70549842494939E-2</v>
      </c>
      <c r="AP57" s="133">
        <v>1.70549842494939E-2</v>
      </c>
      <c r="AQ57" s="133">
        <v>1.70549842494939E-2</v>
      </c>
      <c r="AR57" s="133">
        <v>1.70549842494939E-2</v>
      </c>
      <c r="AS57" s="133">
        <v>1.70549842494939E-2</v>
      </c>
      <c r="AT57" s="133">
        <v>1.70549842494939E-2</v>
      </c>
      <c r="AU57" s="133">
        <v>1.70549842494939E-2</v>
      </c>
      <c r="AV57" s="133">
        <v>1.70549842494939E-2</v>
      </c>
      <c r="AW57" s="133">
        <v>1.70549842494939E-2</v>
      </c>
      <c r="AX57" s="133">
        <v>1.70549842494939E-2</v>
      </c>
      <c r="AY57" s="133">
        <v>1.70549842494939E-2</v>
      </c>
      <c r="AZ57" s="133">
        <v>1.70549842494939E-2</v>
      </c>
      <c r="BA57" s="133">
        <v>1.70549842494939E-2</v>
      </c>
      <c r="BB57" s="133">
        <v>1.70549842494939E-2</v>
      </c>
      <c r="BC57" s="133">
        <v>1.70549842494939E-2</v>
      </c>
      <c r="BD57" s="133">
        <v>1.70549842494939E-2</v>
      </c>
      <c r="BE57" s="133">
        <v>1.70549842494939E-2</v>
      </c>
      <c r="BF57" s="135">
        <v>1.70549842494939E-2</v>
      </c>
      <c r="BG57" s="135">
        <v>1.70549842494939E-2</v>
      </c>
      <c r="BH57" s="135">
        <v>1.70549842494939E-2</v>
      </c>
      <c r="BI57" s="135">
        <v>1.70549842494939E-2</v>
      </c>
      <c r="BJ57" s="135">
        <v>1.70549842494939E-2</v>
      </c>
      <c r="BK57" s="135">
        <v>1.70549842494939E-2</v>
      </c>
    </row>
    <row r="58" spans="1:63" x14ac:dyDescent="0.35">
      <c r="A58" s="150" t="s">
        <v>13</v>
      </c>
      <c r="B58" s="128">
        <v>3336.5009754350572</v>
      </c>
      <c r="C58" s="128">
        <f t="shared" si="147"/>
        <v>3336.5009754350572</v>
      </c>
      <c r="D58" s="128">
        <f t="shared" si="147"/>
        <v>3336.5009754350572</v>
      </c>
      <c r="E58" s="128">
        <f t="shared" si="147"/>
        <v>3336.5009754350572</v>
      </c>
      <c r="F58" s="128">
        <f t="shared" si="147"/>
        <v>3336.5009754350572</v>
      </c>
      <c r="G58" s="133">
        <f t="shared" ref="G58:G61" si="157">G$56*AL58</f>
        <v>3336.5009754350572</v>
      </c>
      <c r="H58" s="133">
        <f t="shared" si="154"/>
        <v>3336.5009754350572</v>
      </c>
      <c r="I58" s="133">
        <f t="shared" si="154"/>
        <v>3336.5009754350572</v>
      </c>
      <c r="J58" s="133">
        <f t="shared" si="154"/>
        <v>3336.5009754350572</v>
      </c>
      <c r="K58" s="133">
        <f t="shared" si="154"/>
        <v>3336.5009754350572</v>
      </c>
      <c r="L58" s="133">
        <f t="shared" si="154"/>
        <v>3336.5009754350572</v>
      </c>
      <c r="M58" s="133">
        <f t="shared" si="154"/>
        <v>3336.5009754350567</v>
      </c>
      <c r="N58" s="133">
        <f t="shared" si="154"/>
        <v>3336.5009754350563</v>
      </c>
      <c r="O58" s="133">
        <f t="shared" si="154"/>
        <v>3336.5009754350554</v>
      </c>
      <c r="P58" s="133">
        <f t="shared" si="154"/>
        <v>3336.5009754350549</v>
      </c>
      <c r="Q58" s="133">
        <f t="shared" si="154"/>
        <v>3336.5009754350549</v>
      </c>
      <c r="R58" s="133">
        <f t="shared" si="154"/>
        <v>3336.5009754350549</v>
      </c>
      <c r="S58" s="133">
        <f t="shared" si="154"/>
        <v>3336.5009754350549</v>
      </c>
      <c r="T58" s="133">
        <f t="shared" si="154"/>
        <v>3336.5009754350549</v>
      </c>
      <c r="U58" s="133">
        <f t="shared" si="154"/>
        <v>3336.5009754350549</v>
      </c>
      <c r="V58" s="133">
        <f t="shared" si="154"/>
        <v>3336.5009754350549</v>
      </c>
      <c r="W58" s="133">
        <f t="shared" si="154"/>
        <v>3336.5009754350549</v>
      </c>
      <c r="X58" s="133">
        <f t="shared" si="155"/>
        <v>3336.5009754350549</v>
      </c>
      <c r="Y58" s="133">
        <f t="shared" si="155"/>
        <v>3336.5009754350549</v>
      </c>
      <c r="Z58" s="133">
        <f t="shared" si="155"/>
        <v>3336.5009754350549</v>
      </c>
      <c r="AA58" s="133">
        <f t="shared" si="155"/>
        <v>3336.5009754350549</v>
      </c>
      <c r="AB58" s="133">
        <f t="shared" si="155"/>
        <v>3336.5009754350549</v>
      </c>
      <c r="AC58" s="133">
        <f t="shared" si="155"/>
        <v>3336.5009754350549</v>
      </c>
      <c r="AD58" s="133">
        <f t="shared" si="155"/>
        <v>3336.5009754350549</v>
      </c>
      <c r="AE58" s="133">
        <f t="shared" si="155"/>
        <v>3336.5009754350549</v>
      </c>
      <c r="AF58" s="133">
        <f t="shared" si="155"/>
        <v>3336.5009754350549</v>
      </c>
      <c r="AG58" s="161">
        <f t="shared" ref="AG58:AG61" si="158">B58/B$56</f>
        <v>9.7543505748386578E-3</v>
      </c>
      <c r="AH58" s="161">
        <f t="shared" si="156"/>
        <v>9.7543505748386578E-3</v>
      </c>
      <c r="AI58" s="161">
        <f t="shared" si="156"/>
        <v>9.7543505748386578E-3</v>
      </c>
      <c r="AJ58" s="161">
        <f t="shared" si="156"/>
        <v>9.7543505748386578E-3</v>
      </c>
      <c r="AK58" s="161">
        <f t="shared" si="156"/>
        <v>9.7543505748386578E-3</v>
      </c>
      <c r="AL58" s="128">
        <v>9.7543505748386578E-3</v>
      </c>
      <c r="AM58" s="128">
        <v>9.7543505748386578E-3</v>
      </c>
      <c r="AN58" s="128">
        <v>9.7543505748386578E-3</v>
      </c>
      <c r="AO58" s="128">
        <v>9.7543505748386578E-3</v>
      </c>
      <c r="AP58" s="128">
        <v>9.7543505748386578E-3</v>
      </c>
      <c r="AQ58" s="128">
        <v>9.7543505748386578E-3</v>
      </c>
      <c r="AR58" s="128">
        <v>9.7543505748386578E-3</v>
      </c>
      <c r="AS58" s="128">
        <v>9.7543505748386578E-3</v>
      </c>
      <c r="AT58" s="128">
        <v>9.7543505748386578E-3</v>
      </c>
      <c r="AU58" s="128">
        <v>9.7543505748386578E-3</v>
      </c>
      <c r="AV58" s="128">
        <v>9.7543505748386578E-3</v>
      </c>
      <c r="AW58" s="128">
        <v>9.7543505748386578E-3</v>
      </c>
      <c r="AX58" s="128">
        <v>9.7543505748386578E-3</v>
      </c>
      <c r="AY58" s="128">
        <v>9.7543505748386578E-3</v>
      </c>
      <c r="AZ58" s="128">
        <v>9.7543505748386578E-3</v>
      </c>
      <c r="BA58" s="128">
        <v>9.7543505748386578E-3</v>
      </c>
      <c r="BB58" s="128">
        <v>9.7543505748386578E-3</v>
      </c>
      <c r="BC58" s="128">
        <v>9.7543505748386578E-3</v>
      </c>
      <c r="BD58" s="128">
        <v>9.7543505748386578E-3</v>
      </c>
      <c r="BE58" s="128">
        <v>9.7543505748386578E-3</v>
      </c>
      <c r="BF58" s="130">
        <v>9.7543505748386578E-3</v>
      </c>
      <c r="BG58" s="130">
        <v>9.7543505748386578E-3</v>
      </c>
      <c r="BH58" s="130">
        <v>9.7543505748386578E-3</v>
      </c>
      <c r="BI58" s="130">
        <v>9.7543505748386578E-3</v>
      </c>
      <c r="BJ58" s="130">
        <v>9.7543505748386578E-3</v>
      </c>
      <c r="BK58" s="130">
        <v>9.7543505748386578E-3</v>
      </c>
    </row>
    <row r="59" spans="1:63" x14ac:dyDescent="0.35">
      <c r="A59" s="149" t="s">
        <v>10</v>
      </c>
      <c r="B59" s="133">
        <v>327449.39573071379</v>
      </c>
      <c r="C59" s="128">
        <f t="shared" si="147"/>
        <v>327449.39573071379</v>
      </c>
      <c r="D59" s="128">
        <f t="shared" si="147"/>
        <v>327449.39573071379</v>
      </c>
      <c r="E59" s="128">
        <f t="shared" si="147"/>
        <v>327449.39573071379</v>
      </c>
      <c r="F59" s="128">
        <f t="shared" si="147"/>
        <v>327449.39573071379</v>
      </c>
      <c r="G59" s="133">
        <f t="shared" si="157"/>
        <v>327449.39573071379</v>
      </c>
      <c r="H59" s="133">
        <f t="shared" si="154"/>
        <v>327449.39573071379</v>
      </c>
      <c r="I59" s="133">
        <f t="shared" si="154"/>
        <v>327449.39573071379</v>
      </c>
      <c r="J59" s="133">
        <f t="shared" si="154"/>
        <v>327449.39573071379</v>
      </c>
      <c r="K59" s="133">
        <f t="shared" si="154"/>
        <v>327449.39573071379</v>
      </c>
      <c r="L59" s="133">
        <f t="shared" si="154"/>
        <v>327449.39573071379</v>
      </c>
      <c r="M59" s="133">
        <f t="shared" si="154"/>
        <v>327449.39573071373</v>
      </c>
      <c r="N59" s="133">
        <f t="shared" si="154"/>
        <v>327449.39573071367</v>
      </c>
      <c r="O59" s="133">
        <f t="shared" si="154"/>
        <v>327449.39573071362</v>
      </c>
      <c r="P59" s="133">
        <f t="shared" si="154"/>
        <v>327449.39573071356</v>
      </c>
      <c r="Q59" s="133">
        <f t="shared" si="154"/>
        <v>327449.39573071356</v>
      </c>
      <c r="R59" s="133">
        <f t="shared" si="154"/>
        <v>327449.39573071356</v>
      </c>
      <c r="S59" s="133">
        <f t="shared" si="154"/>
        <v>327449.39573071356</v>
      </c>
      <c r="T59" s="133">
        <f t="shared" si="154"/>
        <v>327449.39573071356</v>
      </c>
      <c r="U59" s="133">
        <f t="shared" si="154"/>
        <v>327449.39573071356</v>
      </c>
      <c r="V59" s="133">
        <f t="shared" si="154"/>
        <v>327449.39573071356</v>
      </c>
      <c r="W59" s="133">
        <f t="shared" si="154"/>
        <v>327449.39573071356</v>
      </c>
      <c r="X59" s="133">
        <f t="shared" si="155"/>
        <v>327449.39573071356</v>
      </c>
      <c r="Y59" s="133">
        <f t="shared" si="155"/>
        <v>327449.39573071356</v>
      </c>
      <c r="Z59" s="133">
        <f t="shared" si="155"/>
        <v>327449.39573071356</v>
      </c>
      <c r="AA59" s="133">
        <f t="shared" si="155"/>
        <v>327449.39573071356</v>
      </c>
      <c r="AB59" s="133">
        <f t="shared" si="155"/>
        <v>327449.39573071356</v>
      </c>
      <c r="AC59" s="133">
        <f t="shared" si="155"/>
        <v>327449.39573071356</v>
      </c>
      <c r="AD59" s="133">
        <f t="shared" si="155"/>
        <v>327449.39573071356</v>
      </c>
      <c r="AE59" s="133">
        <f t="shared" si="155"/>
        <v>327449.39573071356</v>
      </c>
      <c r="AF59" s="133">
        <f t="shared" si="155"/>
        <v>327449.39573071356</v>
      </c>
      <c r="AG59" s="161">
        <f t="shared" si="158"/>
        <v>0.95730713852405691</v>
      </c>
      <c r="AH59" s="161">
        <f t="shared" si="156"/>
        <v>0.95730713852405691</v>
      </c>
      <c r="AI59" s="161">
        <f t="shared" si="156"/>
        <v>0.95730713852405691</v>
      </c>
      <c r="AJ59" s="161">
        <f t="shared" si="156"/>
        <v>0.95730713852405691</v>
      </c>
      <c r="AK59" s="161">
        <f t="shared" si="156"/>
        <v>0.95730713852405691</v>
      </c>
      <c r="AL59" s="133">
        <v>0.95730713852405691</v>
      </c>
      <c r="AM59" s="133">
        <v>0.95730713852405691</v>
      </c>
      <c r="AN59" s="133">
        <v>0.95730713852405691</v>
      </c>
      <c r="AO59" s="133">
        <v>0.95730713852405691</v>
      </c>
      <c r="AP59" s="133">
        <v>0.95730713852405691</v>
      </c>
      <c r="AQ59" s="133">
        <v>0.95730713852405691</v>
      </c>
      <c r="AR59" s="133">
        <v>0.95730713852405691</v>
      </c>
      <c r="AS59" s="133">
        <v>0.95730713852405691</v>
      </c>
      <c r="AT59" s="133">
        <v>0.95730713852405691</v>
      </c>
      <c r="AU59" s="133">
        <v>0.95730713852405691</v>
      </c>
      <c r="AV59" s="133">
        <v>0.95730713852405691</v>
      </c>
      <c r="AW59" s="133">
        <v>0.95730713852405691</v>
      </c>
      <c r="AX59" s="133">
        <v>0.95730713852405691</v>
      </c>
      <c r="AY59" s="133">
        <v>0.95730713852405691</v>
      </c>
      <c r="AZ59" s="133">
        <v>0.95730713852405691</v>
      </c>
      <c r="BA59" s="133">
        <v>0.95730713852405691</v>
      </c>
      <c r="BB59" s="133">
        <v>0.95730713852405691</v>
      </c>
      <c r="BC59" s="133">
        <v>0.95730713852405691</v>
      </c>
      <c r="BD59" s="133">
        <v>0.95730713852405691</v>
      </c>
      <c r="BE59" s="133">
        <v>0.95730713852405691</v>
      </c>
      <c r="BF59" s="135">
        <v>0.95730713852405691</v>
      </c>
      <c r="BG59" s="135">
        <v>0.95730713852405691</v>
      </c>
      <c r="BH59" s="135">
        <v>0.95730713852405691</v>
      </c>
      <c r="BI59" s="135">
        <v>0.95730713852405691</v>
      </c>
      <c r="BJ59" s="135">
        <v>0.95730713852405691</v>
      </c>
      <c r="BK59" s="135">
        <v>0.95730713852405691</v>
      </c>
    </row>
    <row r="60" spans="1:63" x14ac:dyDescent="0.35">
      <c r="A60" s="150" t="s">
        <v>14</v>
      </c>
      <c r="B60" s="128">
        <v>2333.200682117511</v>
      </c>
      <c r="C60" s="128">
        <f t="shared" si="147"/>
        <v>2333.200682117511</v>
      </c>
      <c r="D60" s="128">
        <f t="shared" si="147"/>
        <v>2333.200682117511</v>
      </c>
      <c r="E60" s="128">
        <f t="shared" si="147"/>
        <v>2333.200682117511</v>
      </c>
      <c r="F60" s="128">
        <f t="shared" si="147"/>
        <v>2333.200682117511</v>
      </c>
      <c r="G60" s="133">
        <f t="shared" si="157"/>
        <v>2333.200682117511</v>
      </c>
      <c r="H60" s="133">
        <f t="shared" si="154"/>
        <v>2333.200682117511</v>
      </c>
      <c r="I60" s="133">
        <f t="shared" si="154"/>
        <v>2333.200682117511</v>
      </c>
      <c r="J60" s="133">
        <f t="shared" si="154"/>
        <v>2333.200682117511</v>
      </c>
      <c r="K60" s="133">
        <f t="shared" si="154"/>
        <v>2333.200682117511</v>
      </c>
      <c r="L60" s="133">
        <f t="shared" si="154"/>
        <v>2333.200682117511</v>
      </c>
      <c r="M60" s="133">
        <f t="shared" si="154"/>
        <v>2333.2006821175105</v>
      </c>
      <c r="N60" s="133">
        <f t="shared" si="154"/>
        <v>2333.20068211751</v>
      </c>
      <c r="O60" s="133">
        <f t="shared" si="154"/>
        <v>2333.2006821175096</v>
      </c>
      <c r="P60" s="133">
        <f t="shared" si="154"/>
        <v>2333.2006821175091</v>
      </c>
      <c r="Q60" s="133">
        <f t="shared" si="154"/>
        <v>2333.2006821175091</v>
      </c>
      <c r="R60" s="133">
        <f t="shared" si="154"/>
        <v>2333.2006821175091</v>
      </c>
      <c r="S60" s="133">
        <f t="shared" si="154"/>
        <v>2333.2006821175091</v>
      </c>
      <c r="T60" s="133">
        <f t="shared" si="154"/>
        <v>2333.2006821175091</v>
      </c>
      <c r="U60" s="133">
        <f t="shared" si="154"/>
        <v>2333.2006821175091</v>
      </c>
      <c r="V60" s="133">
        <f t="shared" si="154"/>
        <v>2333.2006821175091</v>
      </c>
      <c r="W60" s="133">
        <f t="shared" si="154"/>
        <v>2333.2006821175091</v>
      </c>
      <c r="X60" s="133">
        <f t="shared" si="155"/>
        <v>2333.2006821175091</v>
      </c>
      <c r="Y60" s="133">
        <f t="shared" si="155"/>
        <v>2333.2006821175091</v>
      </c>
      <c r="Z60" s="133">
        <f t="shared" si="155"/>
        <v>2333.2006821175091</v>
      </c>
      <c r="AA60" s="133">
        <f t="shared" si="155"/>
        <v>2333.2006821175091</v>
      </c>
      <c r="AB60" s="133">
        <f t="shared" si="155"/>
        <v>2333.2006821175091</v>
      </c>
      <c r="AC60" s="133">
        <f t="shared" si="155"/>
        <v>2333.2006821175091</v>
      </c>
      <c r="AD60" s="133">
        <f t="shared" si="155"/>
        <v>2333.2006821175091</v>
      </c>
      <c r="AE60" s="133">
        <f t="shared" si="155"/>
        <v>2333.2006821175091</v>
      </c>
      <c r="AF60" s="133">
        <f t="shared" si="155"/>
        <v>2333.2006821175091</v>
      </c>
      <c r="AG60" s="161">
        <f t="shared" si="158"/>
        <v>6.8211751120076597E-3</v>
      </c>
      <c r="AH60" s="161">
        <f t="shared" si="156"/>
        <v>6.8211751120076597E-3</v>
      </c>
      <c r="AI60" s="161">
        <f t="shared" si="156"/>
        <v>6.8211751120076597E-3</v>
      </c>
      <c r="AJ60" s="161">
        <f t="shared" si="156"/>
        <v>6.8211751120076597E-3</v>
      </c>
      <c r="AK60" s="161">
        <f t="shared" si="156"/>
        <v>6.8211751120076597E-3</v>
      </c>
      <c r="AL60" s="128">
        <v>6.8211751120076589E-3</v>
      </c>
      <c r="AM60" s="128">
        <v>6.8211751120076589E-3</v>
      </c>
      <c r="AN60" s="128">
        <v>6.8211751120076589E-3</v>
      </c>
      <c r="AO60" s="128">
        <v>6.8211751120076589E-3</v>
      </c>
      <c r="AP60" s="128">
        <v>6.8211751120076589E-3</v>
      </c>
      <c r="AQ60" s="128">
        <v>6.8211751120076589E-3</v>
      </c>
      <c r="AR60" s="128">
        <v>6.8211751120076589E-3</v>
      </c>
      <c r="AS60" s="128">
        <v>6.8211751120076589E-3</v>
      </c>
      <c r="AT60" s="128">
        <v>6.8211751120076589E-3</v>
      </c>
      <c r="AU60" s="128">
        <v>6.8211751120076589E-3</v>
      </c>
      <c r="AV60" s="128">
        <v>6.8211751120076589E-3</v>
      </c>
      <c r="AW60" s="128">
        <v>6.8211751120076589E-3</v>
      </c>
      <c r="AX60" s="128">
        <v>6.8211751120076589E-3</v>
      </c>
      <c r="AY60" s="128">
        <v>6.8211751120076589E-3</v>
      </c>
      <c r="AZ60" s="128">
        <v>6.8211751120076589E-3</v>
      </c>
      <c r="BA60" s="128">
        <v>6.8211751120076589E-3</v>
      </c>
      <c r="BB60" s="128">
        <v>6.8211751120076589E-3</v>
      </c>
      <c r="BC60" s="128">
        <v>6.8211751120076589E-3</v>
      </c>
      <c r="BD60" s="128">
        <v>6.8211751120076589E-3</v>
      </c>
      <c r="BE60" s="128">
        <v>6.8211751120076589E-3</v>
      </c>
      <c r="BF60" s="130">
        <v>6.8211751120076589E-3</v>
      </c>
      <c r="BG60" s="130">
        <v>6.8211751120076589E-3</v>
      </c>
      <c r="BH60" s="130">
        <v>6.8211751120076589E-3</v>
      </c>
      <c r="BI60" s="130">
        <v>6.8211751120076589E-3</v>
      </c>
      <c r="BJ60" s="130">
        <v>6.8211751120076589E-3</v>
      </c>
      <c r="BK60" s="130">
        <v>6.8211751120076589E-3</v>
      </c>
    </row>
    <row r="61" spans="1:63" x14ac:dyDescent="0.35">
      <c r="A61" s="149" t="s">
        <v>9</v>
      </c>
      <c r="B61" s="133">
        <v>3099.8009062351539</v>
      </c>
      <c r="C61" s="128">
        <f t="shared" si="147"/>
        <v>3099.8009062351539</v>
      </c>
      <c r="D61" s="128">
        <f t="shared" si="147"/>
        <v>3099.8009062351539</v>
      </c>
      <c r="E61" s="128">
        <f t="shared" si="147"/>
        <v>3099.8009062351539</v>
      </c>
      <c r="F61" s="128">
        <f t="shared" si="147"/>
        <v>3099.8009062351539</v>
      </c>
      <c r="G61" s="133">
        <f t="shared" si="157"/>
        <v>3099.8009062351539</v>
      </c>
      <c r="H61" s="133">
        <f t="shared" si="154"/>
        <v>3099.8009062351539</v>
      </c>
      <c r="I61" s="133">
        <f t="shared" si="154"/>
        <v>3099.8009062351539</v>
      </c>
      <c r="J61" s="133">
        <f t="shared" si="154"/>
        <v>3099.8009062351539</v>
      </c>
      <c r="K61" s="133">
        <f t="shared" si="154"/>
        <v>3099.8009062351539</v>
      </c>
      <c r="L61" s="133">
        <f t="shared" si="154"/>
        <v>3099.8009062351539</v>
      </c>
      <c r="M61" s="133">
        <f t="shared" si="154"/>
        <v>3099.8009062351534</v>
      </c>
      <c r="N61" s="133">
        <f t="shared" si="154"/>
        <v>3099.800906235153</v>
      </c>
      <c r="O61" s="133">
        <f t="shared" si="154"/>
        <v>3099.8009062351525</v>
      </c>
      <c r="P61" s="133">
        <f t="shared" si="154"/>
        <v>3099.8009062351521</v>
      </c>
      <c r="Q61" s="133">
        <f t="shared" si="154"/>
        <v>3099.8009062351521</v>
      </c>
      <c r="R61" s="133">
        <f t="shared" si="154"/>
        <v>3099.8009062351521</v>
      </c>
      <c r="S61" s="133">
        <f t="shared" si="154"/>
        <v>3099.8009062351521</v>
      </c>
      <c r="T61" s="133">
        <f t="shared" si="154"/>
        <v>3099.8009062351521</v>
      </c>
      <c r="U61" s="133">
        <f t="shared" si="154"/>
        <v>3099.8009062351521</v>
      </c>
      <c r="V61" s="133">
        <f t="shared" si="154"/>
        <v>3099.8009062351521</v>
      </c>
      <c r="W61" s="133">
        <f t="shared" si="154"/>
        <v>3099.8009062351521</v>
      </c>
      <c r="X61" s="133">
        <f t="shared" si="155"/>
        <v>3099.8009062351521</v>
      </c>
      <c r="Y61" s="133">
        <f t="shared" si="155"/>
        <v>3099.8009062351521</v>
      </c>
      <c r="Z61" s="133">
        <f t="shared" si="155"/>
        <v>3099.8009062351521</v>
      </c>
      <c r="AA61" s="133">
        <f t="shared" si="155"/>
        <v>3099.8009062351521</v>
      </c>
      <c r="AB61" s="133">
        <f t="shared" si="155"/>
        <v>3099.8009062351521</v>
      </c>
      <c r="AC61" s="133">
        <f t="shared" si="155"/>
        <v>3099.8009062351521</v>
      </c>
      <c r="AD61" s="133">
        <f t="shared" si="155"/>
        <v>3099.8009062351521</v>
      </c>
      <c r="AE61" s="133">
        <f t="shared" si="155"/>
        <v>3099.8009062351521</v>
      </c>
      <c r="AF61" s="133">
        <f t="shared" si="155"/>
        <v>3099.8009062351521</v>
      </c>
      <c r="AG61" s="161">
        <f t="shared" si="158"/>
        <v>9.0623515396028396E-3</v>
      </c>
      <c r="AH61" s="161">
        <f t="shared" si="156"/>
        <v>9.0623515396028396E-3</v>
      </c>
      <c r="AI61" s="161">
        <f t="shared" si="156"/>
        <v>9.0623515396028396E-3</v>
      </c>
      <c r="AJ61" s="161">
        <f t="shared" si="156"/>
        <v>9.0623515396028396E-3</v>
      </c>
      <c r="AK61" s="161">
        <f t="shared" si="156"/>
        <v>9.0623515396028396E-3</v>
      </c>
      <c r="AL61" s="133">
        <v>9.0623515396028396E-3</v>
      </c>
      <c r="AM61" s="133">
        <v>9.0623515396028396E-3</v>
      </c>
      <c r="AN61" s="133">
        <v>9.0623515396028396E-3</v>
      </c>
      <c r="AO61" s="133">
        <v>9.0623515396028396E-3</v>
      </c>
      <c r="AP61" s="133">
        <v>9.0623515396028396E-3</v>
      </c>
      <c r="AQ61" s="133">
        <v>9.0623515396028396E-3</v>
      </c>
      <c r="AR61" s="133">
        <v>9.0623515396028396E-3</v>
      </c>
      <c r="AS61" s="133">
        <v>9.0623515396028396E-3</v>
      </c>
      <c r="AT61" s="133">
        <v>9.0623515396028396E-3</v>
      </c>
      <c r="AU61" s="133">
        <v>9.0623515396028396E-3</v>
      </c>
      <c r="AV61" s="133">
        <v>9.0623515396028396E-3</v>
      </c>
      <c r="AW61" s="133">
        <v>9.0623515396028396E-3</v>
      </c>
      <c r="AX61" s="133">
        <v>9.0623515396028396E-3</v>
      </c>
      <c r="AY61" s="133">
        <v>9.0623515396028396E-3</v>
      </c>
      <c r="AZ61" s="133">
        <v>9.0623515396028396E-3</v>
      </c>
      <c r="BA61" s="133">
        <v>9.0623515396028396E-3</v>
      </c>
      <c r="BB61" s="133">
        <v>9.0623515396028396E-3</v>
      </c>
      <c r="BC61" s="133">
        <v>9.0623515396028396E-3</v>
      </c>
      <c r="BD61" s="133">
        <v>9.0623515396028396E-3</v>
      </c>
      <c r="BE61" s="133">
        <v>9.0623515396028396E-3</v>
      </c>
      <c r="BF61" s="135">
        <v>9.0623515396028396E-3</v>
      </c>
      <c r="BG61" s="135">
        <v>9.0623515396028396E-3</v>
      </c>
      <c r="BH61" s="135">
        <v>9.0623515396028396E-3</v>
      </c>
      <c r="BI61" s="135">
        <v>9.0623515396028396E-3</v>
      </c>
      <c r="BJ61" s="135">
        <v>9.0623515396028396E-3</v>
      </c>
      <c r="BK61" s="135">
        <v>9.0623515396028396E-3</v>
      </c>
    </row>
    <row r="62" spans="1:63" x14ac:dyDescent="0.35">
      <c r="A62" s="136"/>
      <c r="B62" s="127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8"/>
      <c r="AT62" s="128"/>
      <c r="AU62" s="128"/>
      <c r="AV62" s="128"/>
      <c r="AW62" s="128"/>
      <c r="AX62" s="128"/>
      <c r="AY62" s="128"/>
      <c r="AZ62" s="128"/>
      <c r="BA62" s="128"/>
      <c r="BB62" s="128"/>
      <c r="BC62" s="128"/>
      <c r="BD62" s="128"/>
      <c r="BE62" s="128"/>
      <c r="BF62" s="130"/>
      <c r="BG62" s="130"/>
      <c r="BH62" s="130"/>
      <c r="BI62" s="130"/>
      <c r="BJ62" s="130"/>
      <c r="BK62" s="130"/>
    </row>
    <row r="63" spans="1:63" x14ac:dyDescent="0.35">
      <c r="A63" s="137" t="s">
        <v>32</v>
      </c>
      <c r="B63" s="132">
        <f>'Initial demand info'!F37</f>
        <v>33322.601640000001</v>
      </c>
      <c r="C63" s="128">
        <f t="shared" ref="C63:F66" si="159">B63+($G63-$B63)/5</f>
        <v>34585.659285912938</v>
      </c>
      <c r="D63" s="128">
        <f t="shared" si="159"/>
        <v>35848.716931825875</v>
      </c>
      <c r="E63" s="128">
        <f t="shared" si="159"/>
        <v>37111.774577738812</v>
      </c>
      <c r="F63" s="128">
        <f t="shared" si="159"/>
        <v>38374.832223651749</v>
      </c>
      <c r="G63" s="127">
        <f>'Initial demand info'!K38</f>
        <v>39637.889869564686</v>
      </c>
      <c r="H63" s="128">
        <f>G63+($L63-$G63)/5</f>
        <v>39259.729946228996</v>
      </c>
      <c r="I63" s="128">
        <f t="shared" ref="I63:K63" si="160">H63+($L63-$G63)/5</f>
        <v>38881.570022893306</v>
      </c>
      <c r="J63" s="128">
        <f t="shared" si="160"/>
        <v>38503.410099557615</v>
      </c>
      <c r="K63" s="128">
        <f t="shared" si="160"/>
        <v>38125.250176221925</v>
      </c>
      <c r="L63" s="127">
        <f>'Initial demand info'!L38</f>
        <v>37747.090252886228</v>
      </c>
      <c r="M63" s="128">
        <f>L63+($Q63-$L63)/5</f>
        <v>37069.737652085823</v>
      </c>
      <c r="N63" s="128">
        <f t="shared" ref="N63:P63" si="161">M63+($Q63-$L63)/5</f>
        <v>36392.385051285419</v>
      </c>
      <c r="O63" s="128">
        <f t="shared" si="161"/>
        <v>35715.032450485014</v>
      </c>
      <c r="P63" s="128">
        <f t="shared" si="161"/>
        <v>35037.67984968461</v>
      </c>
      <c r="Q63" s="127">
        <f>'Initial demand info'!M38</f>
        <v>34360.32724888419</v>
      </c>
      <c r="R63" s="128">
        <f>Q63+($V63-$Q63)/5</f>
        <v>34138.519677659766</v>
      </c>
      <c r="S63" s="128">
        <f t="shared" ref="S63:U63" si="162">R63+($V63-$Q63)/5</f>
        <v>33916.712106435341</v>
      </c>
      <c r="T63" s="128">
        <f t="shared" si="162"/>
        <v>33694.904535210917</v>
      </c>
      <c r="U63" s="128">
        <f t="shared" si="162"/>
        <v>33473.096963986492</v>
      </c>
      <c r="V63" s="127">
        <f>'Initial demand info'!N38</f>
        <v>33251.289392762061</v>
      </c>
      <c r="W63" s="128">
        <f>V63+($AA63-$V63)/5</f>
        <v>33119.070588241448</v>
      </c>
      <c r="X63" s="128">
        <f t="shared" ref="X63:Z63" si="163">W63+($AA63-$V63)/5</f>
        <v>32986.851783720835</v>
      </c>
      <c r="Y63" s="128">
        <f t="shared" si="163"/>
        <v>32854.632979200222</v>
      </c>
      <c r="Z63" s="128">
        <f t="shared" si="163"/>
        <v>32722.414174679605</v>
      </c>
      <c r="AA63" s="127">
        <f>'Initial demand info'!O38</f>
        <v>32590.195370158977</v>
      </c>
      <c r="AB63" s="128">
        <f>AA63+($AF63-$AA63)/5</f>
        <v>32399.006524236382</v>
      </c>
      <c r="AC63" s="128">
        <f t="shared" ref="AC63:AE63" si="164">AB63+($AF63-$AA63)/5</f>
        <v>32207.817678313786</v>
      </c>
      <c r="AD63" s="128">
        <f t="shared" si="164"/>
        <v>32016.62883239119</v>
      </c>
      <c r="AE63" s="128">
        <f t="shared" si="164"/>
        <v>31825.439986468595</v>
      </c>
      <c r="AF63" s="127">
        <f>'Initial demand info'!P38</f>
        <v>31634.251140545999</v>
      </c>
      <c r="AG63" s="133">
        <v>1</v>
      </c>
      <c r="AH63" s="133">
        <v>1</v>
      </c>
      <c r="AI63" s="133">
        <v>0.99999999999999978</v>
      </c>
      <c r="AJ63" s="133">
        <v>0.99999999999999978</v>
      </c>
      <c r="AK63" s="133">
        <v>0.99999999999999978</v>
      </c>
      <c r="AL63" s="133">
        <v>0.99999999999999978</v>
      </c>
      <c r="AM63" s="133">
        <v>0.99999999999999967</v>
      </c>
      <c r="AN63" s="133">
        <v>0.99999999999999956</v>
      </c>
      <c r="AO63" s="133">
        <v>0.99999999999999967</v>
      </c>
      <c r="AP63" s="133">
        <v>0.99999999999999956</v>
      </c>
      <c r="AQ63" s="133">
        <v>0.99999999999999989</v>
      </c>
      <c r="AR63" s="133">
        <v>0.99999999999999989</v>
      </c>
      <c r="AS63" s="133">
        <v>0.99999999999999989</v>
      </c>
      <c r="AT63" s="133">
        <v>0.99999999999999989</v>
      </c>
      <c r="AU63" s="133">
        <v>0.99999999999999989</v>
      </c>
      <c r="AV63" s="133">
        <v>0.99999999999999989</v>
      </c>
      <c r="AW63" s="133">
        <v>0.99999999999999989</v>
      </c>
      <c r="AX63" s="133">
        <v>0.99999999999999989</v>
      </c>
      <c r="AY63" s="133">
        <v>0.99999999999999989</v>
      </c>
      <c r="AZ63" s="133">
        <v>0.99999999999999989</v>
      </c>
      <c r="BA63" s="133">
        <v>0.99999999999999989</v>
      </c>
      <c r="BB63" s="133">
        <v>0.99999999999999989</v>
      </c>
      <c r="BC63" s="133">
        <v>0.99999999999999989</v>
      </c>
      <c r="BD63" s="133">
        <v>0.99999999999999989</v>
      </c>
      <c r="BE63" s="133">
        <v>0.99999999999999989</v>
      </c>
      <c r="BF63" s="135">
        <v>0.99999999999999989</v>
      </c>
      <c r="BG63" s="135">
        <v>0.99999999999999989</v>
      </c>
      <c r="BH63" s="135">
        <v>0.99999999999999989</v>
      </c>
      <c r="BI63" s="135">
        <v>0.99999999999999989</v>
      </c>
      <c r="BJ63" s="135">
        <v>0.99999999999999989</v>
      </c>
      <c r="BK63" s="135">
        <v>0.99999999999999989</v>
      </c>
    </row>
    <row r="64" spans="1:63" x14ac:dyDescent="0.35">
      <c r="A64" s="136" t="s">
        <v>29</v>
      </c>
      <c r="B64" s="127">
        <f>'Initial demand info'!F38</f>
        <v>6310.5426700000007</v>
      </c>
      <c r="C64" s="128">
        <f t="shared" si="159"/>
        <v>6549.7268236466434</v>
      </c>
      <c r="D64" s="128">
        <f t="shared" si="159"/>
        <v>6788.9109772932861</v>
      </c>
      <c r="E64" s="128">
        <f t="shared" si="159"/>
        <v>7028.0951309399288</v>
      </c>
      <c r="F64" s="128">
        <f t="shared" si="159"/>
        <v>7267.2792845865715</v>
      </c>
      <c r="G64" s="133">
        <f>G$63*AL64</f>
        <v>7506.4634382332124</v>
      </c>
      <c r="H64" s="133">
        <f t="shared" ref="H64:W66" si="165">H$63*AM64</f>
        <v>7434.8490397961241</v>
      </c>
      <c r="I64" s="133">
        <f t="shared" si="165"/>
        <v>7363.2346413590358</v>
      </c>
      <c r="J64" s="133">
        <f t="shared" si="165"/>
        <v>7291.6202429219484</v>
      </c>
      <c r="K64" s="133">
        <f t="shared" si="165"/>
        <v>7220.0058444848601</v>
      </c>
      <c r="L64" s="133">
        <f t="shared" si="165"/>
        <v>7148.3914460477681</v>
      </c>
      <c r="M64" s="133">
        <f t="shared" si="165"/>
        <v>7020.1171471526477</v>
      </c>
      <c r="N64" s="133">
        <f t="shared" si="165"/>
        <v>6891.8428482575273</v>
      </c>
      <c r="O64" s="133">
        <f t="shared" si="165"/>
        <v>6763.5685493624069</v>
      </c>
      <c r="P64" s="133">
        <f t="shared" si="165"/>
        <v>6635.2942504672856</v>
      </c>
      <c r="Q64" s="133">
        <f t="shared" si="165"/>
        <v>6507.0199515721624</v>
      </c>
      <c r="R64" s="133">
        <f t="shared" si="165"/>
        <v>6465.0149298820979</v>
      </c>
      <c r="S64" s="133">
        <f t="shared" si="165"/>
        <v>6423.0099081920334</v>
      </c>
      <c r="T64" s="133">
        <f t="shared" si="165"/>
        <v>6381.0048865019689</v>
      </c>
      <c r="U64" s="133">
        <f t="shared" si="165"/>
        <v>6338.9998648119044</v>
      </c>
      <c r="V64" s="133">
        <f t="shared" si="165"/>
        <v>6296.994843121839</v>
      </c>
      <c r="W64" s="133">
        <f t="shared" si="165"/>
        <v>6271.955780113014</v>
      </c>
      <c r="X64" s="133">
        <f t="shared" ref="X64:AF66" si="166">X$63*BC64</f>
        <v>6246.916717104189</v>
      </c>
      <c r="Y64" s="133">
        <f t="shared" si="166"/>
        <v>6221.877654095365</v>
      </c>
      <c r="Z64" s="133">
        <f t="shared" si="166"/>
        <v>6196.8385910865391</v>
      </c>
      <c r="AA64" s="133">
        <f t="shared" si="166"/>
        <v>6171.7995280777122</v>
      </c>
      <c r="AB64" s="133">
        <f t="shared" si="166"/>
        <v>6135.5929568793308</v>
      </c>
      <c r="AC64" s="133">
        <f t="shared" si="166"/>
        <v>6099.3863856809503</v>
      </c>
      <c r="AD64" s="133">
        <f t="shared" si="166"/>
        <v>6063.1798144825698</v>
      </c>
      <c r="AE64" s="133">
        <f t="shared" si="166"/>
        <v>6026.9732432841893</v>
      </c>
      <c r="AF64" s="133">
        <f t="shared" si="166"/>
        <v>5990.7666720858078</v>
      </c>
      <c r="AG64" s="161">
        <f>B64/B$63</f>
        <v>0.18937725025722213</v>
      </c>
      <c r="AH64" s="161">
        <f t="shared" ref="AH64:AK66" si="167">C64/C$63</f>
        <v>0.18937695446258004</v>
      </c>
      <c r="AI64" s="161">
        <f t="shared" si="167"/>
        <v>0.18937667951139997</v>
      </c>
      <c r="AJ64" s="161">
        <f t="shared" si="167"/>
        <v>0.18937642327553028</v>
      </c>
      <c r="AK64" s="161">
        <f t="shared" si="167"/>
        <v>0.18937618390700073</v>
      </c>
      <c r="AL64" s="128">
        <v>0.18937595979338268</v>
      </c>
      <c r="AM64" s="128">
        <v>0.18937595979338268</v>
      </c>
      <c r="AN64" s="128">
        <v>0.18937595979338268</v>
      </c>
      <c r="AO64" s="128">
        <v>0.1893759597933827</v>
      </c>
      <c r="AP64" s="128">
        <v>0.1893759597933827</v>
      </c>
      <c r="AQ64" s="128">
        <v>0.18937595979338265</v>
      </c>
      <c r="AR64" s="128">
        <v>0.18937595979338265</v>
      </c>
      <c r="AS64" s="128">
        <v>0.18937595979338265</v>
      </c>
      <c r="AT64" s="128">
        <v>0.18937595979338265</v>
      </c>
      <c r="AU64" s="128">
        <v>0.18937595979338265</v>
      </c>
      <c r="AV64" s="128">
        <v>0.18937595979338265</v>
      </c>
      <c r="AW64" s="128">
        <v>0.18937595979338265</v>
      </c>
      <c r="AX64" s="128">
        <v>0.18937595979338265</v>
      </c>
      <c r="AY64" s="128">
        <v>0.18937595979338265</v>
      </c>
      <c r="AZ64" s="128">
        <v>0.18937595979338265</v>
      </c>
      <c r="BA64" s="128">
        <v>0.18937595979338265</v>
      </c>
      <c r="BB64" s="128">
        <v>0.18937595979338265</v>
      </c>
      <c r="BC64" s="128">
        <v>0.18937595979338265</v>
      </c>
      <c r="BD64" s="128">
        <v>0.18937595979338265</v>
      </c>
      <c r="BE64" s="128">
        <v>0.18937595979338265</v>
      </c>
      <c r="BF64" s="130">
        <v>0.18937595979338265</v>
      </c>
      <c r="BG64" s="130">
        <v>0.18937595979338265</v>
      </c>
      <c r="BH64" s="130">
        <v>0.18937595979338265</v>
      </c>
      <c r="BI64" s="130">
        <v>0.18937595979338265</v>
      </c>
      <c r="BJ64" s="130">
        <v>0.18937595979338265</v>
      </c>
      <c r="BK64" s="130">
        <v>0.18937595979338265</v>
      </c>
    </row>
    <row r="65" spans="1:63" x14ac:dyDescent="0.35">
      <c r="A65" s="131" t="s">
        <v>28</v>
      </c>
      <c r="B65" s="132">
        <f>'Initial demand info'!F39</f>
        <v>1580.5635200000002</v>
      </c>
      <c r="C65" s="128">
        <f t="shared" si="159"/>
        <v>1640.465700355287</v>
      </c>
      <c r="D65" s="128">
        <f t="shared" si="159"/>
        <v>1700.3678807105739</v>
      </c>
      <c r="E65" s="128">
        <f t="shared" si="159"/>
        <v>1760.2700610658608</v>
      </c>
      <c r="F65" s="128">
        <f t="shared" si="159"/>
        <v>1820.1722414211476</v>
      </c>
      <c r="G65" s="133">
        <f t="shared" ref="G65:G66" si="168">G$63*AL65</f>
        <v>1880.0744217764343</v>
      </c>
      <c r="H65" s="133">
        <f t="shared" si="165"/>
        <v>1862.1378262224346</v>
      </c>
      <c r="I65" s="133">
        <f t="shared" si="165"/>
        <v>1844.2012306684344</v>
      </c>
      <c r="J65" s="133">
        <f t="shared" si="165"/>
        <v>1826.2646351144347</v>
      </c>
      <c r="K65" s="133">
        <f t="shared" si="165"/>
        <v>1808.3280395604347</v>
      </c>
      <c r="L65" s="133">
        <f t="shared" si="165"/>
        <v>1790.3914440064352</v>
      </c>
      <c r="M65" s="133">
        <f t="shared" si="165"/>
        <v>1758.263767596839</v>
      </c>
      <c r="N65" s="133">
        <f t="shared" si="165"/>
        <v>1726.1360911872428</v>
      </c>
      <c r="O65" s="133">
        <f t="shared" si="165"/>
        <v>1694.0084147776465</v>
      </c>
      <c r="P65" s="133">
        <f t="shared" si="165"/>
        <v>1661.8807383680505</v>
      </c>
      <c r="Q65" s="133">
        <f t="shared" si="165"/>
        <v>1629.7530619584536</v>
      </c>
      <c r="R65" s="133">
        <f t="shared" si="165"/>
        <v>1619.2324529505661</v>
      </c>
      <c r="S65" s="133">
        <f t="shared" si="165"/>
        <v>1608.7118439426786</v>
      </c>
      <c r="T65" s="133">
        <f t="shared" si="165"/>
        <v>1598.1912349347911</v>
      </c>
      <c r="U65" s="133">
        <f t="shared" si="165"/>
        <v>1587.6706259269035</v>
      </c>
      <c r="V65" s="133">
        <f t="shared" si="165"/>
        <v>1577.1500169190156</v>
      </c>
      <c r="W65" s="133">
        <f t="shared" si="165"/>
        <v>1570.8787145546603</v>
      </c>
      <c r="X65" s="133">
        <f t="shared" si="166"/>
        <v>1564.6074121903048</v>
      </c>
      <c r="Y65" s="133">
        <f t="shared" si="166"/>
        <v>1558.3361098259493</v>
      </c>
      <c r="Z65" s="133">
        <f t="shared" si="166"/>
        <v>1552.0648074615935</v>
      </c>
      <c r="AA65" s="133">
        <f t="shared" si="166"/>
        <v>1545.7935050972374</v>
      </c>
      <c r="AB65" s="133">
        <f t="shared" si="166"/>
        <v>1536.7251803168099</v>
      </c>
      <c r="AC65" s="133">
        <f t="shared" si="166"/>
        <v>1527.6568555363824</v>
      </c>
      <c r="AD65" s="133">
        <f t="shared" si="166"/>
        <v>1518.5885307559552</v>
      </c>
      <c r="AE65" s="133">
        <f t="shared" si="166"/>
        <v>1509.5202059755277</v>
      </c>
      <c r="AF65" s="133">
        <f t="shared" si="166"/>
        <v>1500.4518811951002</v>
      </c>
      <c r="AG65" s="161">
        <f t="shared" ref="AG65:AG66" si="169">B65/B$63</f>
        <v>4.7432176427146464E-2</v>
      </c>
      <c r="AH65" s="161">
        <f t="shared" si="167"/>
        <v>4.7431962675450981E-2</v>
      </c>
      <c r="AI65" s="161">
        <f t="shared" si="167"/>
        <v>4.7431763985980112E-2</v>
      </c>
      <c r="AJ65" s="161">
        <f t="shared" si="167"/>
        <v>4.7431578820856066E-2</v>
      </c>
      <c r="AK65" s="161">
        <f t="shared" si="167"/>
        <v>4.7431405844670038E-2</v>
      </c>
      <c r="AL65" s="133">
        <v>4.7431243892223918E-2</v>
      </c>
      <c r="AM65" s="133">
        <v>4.7431243892223918E-2</v>
      </c>
      <c r="AN65" s="133">
        <v>4.7431243892223911E-2</v>
      </c>
      <c r="AO65" s="133">
        <v>4.7431243892223911E-2</v>
      </c>
      <c r="AP65" s="133">
        <v>4.7431243892223911E-2</v>
      </c>
      <c r="AQ65" s="133">
        <v>4.7431243892223925E-2</v>
      </c>
      <c r="AR65" s="133">
        <v>4.7431243892223925E-2</v>
      </c>
      <c r="AS65" s="133">
        <v>4.7431243892223925E-2</v>
      </c>
      <c r="AT65" s="133">
        <v>4.7431243892223925E-2</v>
      </c>
      <c r="AU65" s="133">
        <v>4.7431243892223925E-2</v>
      </c>
      <c r="AV65" s="133">
        <v>4.7431243892223925E-2</v>
      </c>
      <c r="AW65" s="133">
        <v>4.7431243892223925E-2</v>
      </c>
      <c r="AX65" s="133">
        <v>4.7431243892223925E-2</v>
      </c>
      <c r="AY65" s="133">
        <v>4.7431243892223925E-2</v>
      </c>
      <c r="AZ65" s="133">
        <v>4.7431243892223925E-2</v>
      </c>
      <c r="BA65" s="133">
        <v>4.7431243892223925E-2</v>
      </c>
      <c r="BB65" s="133">
        <v>4.7431243892223925E-2</v>
      </c>
      <c r="BC65" s="133">
        <v>4.7431243892223925E-2</v>
      </c>
      <c r="BD65" s="133">
        <v>4.7431243892223925E-2</v>
      </c>
      <c r="BE65" s="133">
        <v>4.7431243892223925E-2</v>
      </c>
      <c r="BF65" s="135">
        <v>4.7431243892223925E-2</v>
      </c>
      <c r="BG65" s="135">
        <v>4.7431243892223925E-2</v>
      </c>
      <c r="BH65" s="135">
        <v>4.7431243892223925E-2</v>
      </c>
      <c r="BI65" s="135">
        <v>4.7431243892223925E-2</v>
      </c>
      <c r="BJ65" s="135">
        <v>4.7431243892223925E-2</v>
      </c>
      <c r="BK65" s="135">
        <v>4.7431243892223925E-2</v>
      </c>
    </row>
    <row r="66" spans="1:63" x14ac:dyDescent="0.35">
      <c r="A66" s="65" t="s">
        <v>30</v>
      </c>
      <c r="B66" s="75">
        <f>'Initial demand info'!F40</f>
        <v>25431.495450000002</v>
      </c>
      <c r="C66" s="128">
        <f t="shared" si="159"/>
        <v>26395.466761911008</v>
      </c>
      <c r="D66" s="128">
        <f t="shared" si="159"/>
        <v>27359.438073822013</v>
      </c>
      <c r="E66" s="128">
        <f t="shared" si="159"/>
        <v>28323.409385733019</v>
      </c>
      <c r="F66" s="128">
        <f t="shared" si="159"/>
        <v>29287.380697644025</v>
      </c>
      <c r="G66" s="133">
        <f t="shared" si="168"/>
        <v>30251.352009555034</v>
      </c>
      <c r="H66" s="133">
        <f t="shared" si="165"/>
        <v>29962.743080210432</v>
      </c>
      <c r="I66" s="133">
        <f t="shared" si="165"/>
        <v>29674.13415086583</v>
      </c>
      <c r="J66" s="133">
        <f t="shared" si="165"/>
        <v>29385.525221521228</v>
      </c>
      <c r="K66" s="133">
        <f t="shared" si="165"/>
        <v>29096.916292176626</v>
      </c>
      <c r="L66" s="133">
        <f t="shared" si="165"/>
        <v>28808.307362832027</v>
      </c>
      <c r="M66" s="133">
        <f t="shared" si="165"/>
        <v>28291.35673733634</v>
      </c>
      <c r="N66" s="133">
        <f t="shared" si="165"/>
        <v>27774.406111840653</v>
      </c>
      <c r="O66" s="133">
        <f t="shared" si="165"/>
        <v>27257.455486344963</v>
      </c>
      <c r="P66" s="133">
        <f t="shared" si="165"/>
        <v>26740.504860849276</v>
      </c>
      <c r="Q66" s="133">
        <f t="shared" si="165"/>
        <v>26223.554235353578</v>
      </c>
      <c r="R66" s="133">
        <f t="shared" si="165"/>
        <v>26054.272294827104</v>
      </c>
      <c r="S66" s="133">
        <f t="shared" si="165"/>
        <v>25884.990354300633</v>
      </c>
      <c r="T66" s="133">
        <f t="shared" si="165"/>
        <v>25715.708413774159</v>
      </c>
      <c r="U66" s="133">
        <f t="shared" si="165"/>
        <v>25546.426473247688</v>
      </c>
      <c r="V66" s="133">
        <f t="shared" si="165"/>
        <v>25377.14453272121</v>
      </c>
      <c r="W66" s="133">
        <f t="shared" si="165"/>
        <v>25276.236093573778</v>
      </c>
      <c r="X66" s="133">
        <f t="shared" si="166"/>
        <v>25175.327654426343</v>
      </c>
      <c r="Y66" s="133">
        <f t="shared" si="166"/>
        <v>25074.419215278911</v>
      </c>
      <c r="Z66" s="133">
        <f t="shared" si="166"/>
        <v>24973.510776131476</v>
      </c>
      <c r="AA66" s="133">
        <f t="shared" si="166"/>
        <v>24872.60233698403</v>
      </c>
      <c r="AB66" s="133">
        <f t="shared" si="166"/>
        <v>24726.688387040245</v>
      </c>
      <c r="AC66" s="133">
        <f t="shared" si="166"/>
        <v>24580.774437096457</v>
      </c>
      <c r="AD66" s="133">
        <f t="shared" si="166"/>
        <v>24434.86048715267</v>
      </c>
      <c r="AE66" s="133">
        <f t="shared" si="166"/>
        <v>24288.946537208882</v>
      </c>
      <c r="AF66" s="133">
        <f t="shared" si="166"/>
        <v>24143.032587265094</v>
      </c>
      <c r="AG66" s="161">
        <f t="shared" si="169"/>
        <v>0.76319057331563145</v>
      </c>
      <c r="AH66" s="161">
        <f t="shared" si="167"/>
        <v>0.76319108286196902</v>
      </c>
      <c r="AI66" s="161">
        <f t="shared" si="167"/>
        <v>0.76319155650261994</v>
      </c>
      <c r="AJ66" s="161">
        <f t="shared" si="167"/>
        <v>0.76319199790361358</v>
      </c>
      <c r="AK66" s="161">
        <f t="shared" si="167"/>
        <v>0.76319241024832907</v>
      </c>
      <c r="AL66" s="66">
        <v>0.7631927963143933</v>
      </c>
      <c r="AM66" s="66">
        <v>0.7631927963143933</v>
      </c>
      <c r="AN66" s="66">
        <v>0.7631927963143933</v>
      </c>
      <c r="AO66" s="66">
        <v>0.7631927963143933</v>
      </c>
      <c r="AP66" s="66">
        <v>0.7631927963143933</v>
      </c>
      <c r="AQ66" s="66">
        <v>0.76319279631439352</v>
      </c>
      <c r="AR66" s="66">
        <v>0.76319279631439352</v>
      </c>
      <c r="AS66" s="66">
        <v>0.76319279631439352</v>
      </c>
      <c r="AT66" s="66">
        <v>0.76319279631439352</v>
      </c>
      <c r="AU66" s="66">
        <v>0.76319279631439352</v>
      </c>
      <c r="AV66" s="66">
        <v>0.76319279631439352</v>
      </c>
      <c r="AW66" s="66">
        <v>0.76319279631439352</v>
      </c>
      <c r="AX66" s="66">
        <v>0.76319279631439352</v>
      </c>
      <c r="AY66" s="66">
        <v>0.76319279631439352</v>
      </c>
      <c r="AZ66" s="66">
        <v>0.76319279631439352</v>
      </c>
      <c r="BA66" s="66">
        <v>0.76319279631439352</v>
      </c>
      <c r="BB66" s="66">
        <v>0.76319279631439352</v>
      </c>
      <c r="BC66" s="66">
        <v>0.76319279631439352</v>
      </c>
      <c r="BD66" s="66">
        <v>0.76319279631439352</v>
      </c>
      <c r="BE66" s="66">
        <v>0.76319279631439352</v>
      </c>
      <c r="BF66" s="68">
        <v>0.76319279631439352</v>
      </c>
      <c r="BG66" s="68">
        <v>0.76319279631439352</v>
      </c>
      <c r="BH66" s="68">
        <v>0.76319279631439352</v>
      </c>
      <c r="BI66" s="68">
        <v>0.76319279631439352</v>
      </c>
      <c r="BJ66" s="68">
        <v>0.76319279631439352</v>
      </c>
      <c r="BK66" s="68">
        <v>0.76319279631439352</v>
      </c>
    </row>
    <row r="69" spans="1:63" x14ac:dyDescent="0.35">
      <c r="A69" t="s">
        <v>52</v>
      </c>
      <c r="B69" t="s">
        <v>16</v>
      </c>
      <c r="C69" t="s">
        <v>17</v>
      </c>
      <c r="D69" t="s">
        <v>18</v>
      </c>
      <c r="E69" t="s">
        <v>19</v>
      </c>
      <c r="F69" t="s">
        <v>20</v>
      </c>
      <c r="G69" t="s">
        <v>21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t="s">
        <v>37</v>
      </c>
      <c r="N69" t="s">
        <v>54</v>
      </c>
      <c r="O69" t="s">
        <v>55</v>
      </c>
      <c r="P69" t="s">
        <v>56</v>
      </c>
      <c r="Q69" t="s">
        <v>57</v>
      </c>
      <c r="R69" t="s">
        <v>58</v>
      </c>
      <c r="S69" t="s">
        <v>59</v>
      </c>
      <c r="T69" t="s">
        <v>60</v>
      </c>
      <c r="U69" t="s">
        <v>61</v>
      </c>
      <c r="V69" t="s">
        <v>62</v>
      </c>
      <c r="W69" t="s">
        <v>85</v>
      </c>
      <c r="X69" t="s">
        <v>86</v>
      </c>
      <c r="Y69" t="s">
        <v>87</v>
      </c>
      <c r="Z69" t="s">
        <v>88</v>
      </c>
      <c r="AA69" t="s">
        <v>89</v>
      </c>
      <c r="AB69" t="s">
        <v>126</v>
      </c>
      <c r="AC69" t="s">
        <v>127</v>
      </c>
      <c r="AD69" t="s">
        <v>128</v>
      </c>
      <c r="AE69" t="s">
        <v>129</v>
      </c>
      <c r="AF69" t="s">
        <v>118</v>
      </c>
    </row>
    <row r="70" spans="1:63" x14ac:dyDescent="0.35">
      <c r="A70" t="s">
        <v>53</v>
      </c>
      <c r="B70">
        <f>B56</f>
        <v>342052.6</v>
      </c>
      <c r="C70">
        <f t="shared" ref="C70:AA70" si="170">C56</f>
        <v>342052.6</v>
      </c>
      <c r="D70">
        <f t="shared" si="170"/>
        <v>342052.6</v>
      </c>
      <c r="E70">
        <f t="shared" si="170"/>
        <v>342052.6</v>
      </c>
      <c r="F70">
        <f t="shared" si="170"/>
        <v>342052.6</v>
      </c>
      <c r="G70">
        <f t="shared" si="170"/>
        <v>342052.6</v>
      </c>
      <c r="H70">
        <f t="shared" si="170"/>
        <v>342052.6</v>
      </c>
      <c r="I70">
        <f t="shared" si="170"/>
        <v>342052.6</v>
      </c>
      <c r="J70">
        <f t="shared" si="170"/>
        <v>342052.6</v>
      </c>
      <c r="K70">
        <f t="shared" si="170"/>
        <v>342052.6</v>
      </c>
      <c r="L70">
        <f t="shared" si="170"/>
        <v>342052.6</v>
      </c>
      <c r="M70">
        <f t="shared" si="170"/>
        <v>342052.59999999992</v>
      </c>
      <c r="N70">
        <f t="shared" si="170"/>
        <v>342052.59999999986</v>
      </c>
      <c r="O70">
        <f t="shared" si="170"/>
        <v>342052.5999999998</v>
      </c>
      <c r="P70">
        <f t="shared" si="170"/>
        <v>342052.59999999974</v>
      </c>
      <c r="Q70">
        <f t="shared" si="170"/>
        <v>342052.59999999974</v>
      </c>
      <c r="R70">
        <f t="shared" si="170"/>
        <v>342052.59999999974</v>
      </c>
      <c r="S70">
        <f t="shared" si="170"/>
        <v>342052.59999999974</v>
      </c>
      <c r="T70">
        <f t="shared" si="170"/>
        <v>342052.59999999974</v>
      </c>
      <c r="U70">
        <f t="shared" si="170"/>
        <v>342052.59999999974</v>
      </c>
      <c r="V70">
        <f t="shared" si="170"/>
        <v>342052.59999999974</v>
      </c>
      <c r="W70">
        <f t="shared" si="170"/>
        <v>342052.59999999974</v>
      </c>
      <c r="X70">
        <f t="shared" si="170"/>
        <v>342052.59999999974</v>
      </c>
      <c r="Y70">
        <f t="shared" si="170"/>
        <v>342052.59999999974</v>
      </c>
      <c r="Z70">
        <f t="shared" si="170"/>
        <v>342052.59999999974</v>
      </c>
      <c r="AA70">
        <f t="shared" si="170"/>
        <v>342052.59999999974</v>
      </c>
      <c r="AB70" s="63">
        <f t="shared" ref="AB70:AF70" si="171">AB56</f>
        <v>342052.59999999974</v>
      </c>
      <c r="AC70" s="63">
        <f t="shared" si="171"/>
        <v>342052.59999999974</v>
      </c>
      <c r="AD70" s="63">
        <f t="shared" si="171"/>
        <v>342052.59999999974</v>
      </c>
      <c r="AE70" s="63">
        <f t="shared" si="171"/>
        <v>342052.59999999974</v>
      </c>
      <c r="AF70" s="63">
        <f t="shared" si="171"/>
        <v>342052.59999999974</v>
      </c>
    </row>
    <row r="71" spans="1:63" x14ac:dyDescent="0.35">
      <c r="A71" t="s">
        <v>32</v>
      </c>
      <c r="B71" s="63">
        <f>B63</f>
        <v>33322.601640000001</v>
      </c>
      <c r="C71" s="63">
        <f t="shared" ref="C71:AA71" si="172">C63</f>
        <v>34585.659285912938</v>
      </c>
      <c r="D71" s="63">
        <f t="shared" si="172"/>
        <v>35848.716931825875</v>
      </c>
      <c r="E71" s="63">
        <f t="shared" si="172"/>
        <v>37111.774577738812</v>
      </c>
      <c r="F71" s="63">
        <f t="shared" si="172"/>
        <v>38374.832223651749</v>
      </c>
      <c r="G71" s="63">
        <f t="shared" si="172"/>
        <v>39637.889869564686</v>
      </c>
      <c r="H71" s="63">
        <f t="shared" si="172"/>
        <v>39259.729946228996</v>
      </c>
      <c r="I71" s="63">
        <f t="shared" si="172"/>
        <v>38881.570022893306</v>
      </c>
      <c r="J71" s="63">
        <f t="shared" si="172"/>
        <v>38503.410099557615</v>
      </c>
      <c r="K71" s="63">
        <f t="shared" si="172"/>
        <v>38125.250176221925</v>
      </c>
      <c r="L71" s="63">
        <f t="shared" si="172"/>
        <v>37747.090252886228</v>
      </c>
      <c r="M71" s="63">
        <f t="shared" si="172"/>
        <v>37069.737652085823</v>
      </c>
      <c r="N71" s="63">
        <f t="shared" si="172"/>
        <v>36392.385051285419</v>
      </c>
      <c r="O71" s="63">
        <f t="shared" si="172"/>
        <v>35715.032450485014</v>
      </c>
      <c r="P71" s="63">
        <f t="shared" si="172"/>
        <v>35037.67984968461</v>
      </c>
      <c r="Q71" s="63">
        <f t="shared" si="172"/>
        <v>34360.32724888419</v>
      </c>
      <c r="R71" s="63">
        <f t="shared" si="172"/>
        <v>34138.519677659766</v>
      </c>
      <c r="S71" s="63">
        <f t="shared" si="172"/>
        <v>33916.712106435341</v>
      </c>
      <c r="T71" s="63">
        <f t="shared" si="172"/>
        <v>33694.904535210917</v>
      </c>
      <c r="U71" s="63">
        <f t="shared" si="172"/>
        <v>33473.096963986492</v>
      </c>
      <c r="V71" s="63">
        <f t="shared" si="172"/>
        <v>33251.289392762061</v>
      </c>
      <c r="W71" s="63">
        <f t="shared" si="172"/>
        <v>33119.070588241448</v>
      </c>
      <c r="X71" s="63">
        <f t="shared" si="172"/>
        <v>32986.851783720835</v>
      </c>
      <c r="Y71" s="63">
        <f t="shared" si="172"/>
        <v>32854.632979200222</v>
      </c>
      <c r="Z71" s="63">
        <f t="shared" si="172"/>
        <v>32722.414174679605</v>
      </c>
      <c r="AA71" s="63">
        <f t="shared" si="172"/>
        <v>32590.195370158977</v>
      </c>
      <c r="AB71" s="63">
        <f t="shared" ref="AB71:AF71" si="173">AB63</f>
        <v>32399.006524236382</v>
      </c>
      <c r="AC71" s="63">
        <f t="shared" si="173"/>
        <v>32207.817678313786</v>
      </c>
      <c r="AD71" s="63">
        <f t="shared" si="173"/>
        <v>32016.62883239119</v>
      </c>
      <c r="AE71" s="63">
        <f t="shared" si="173"/>
        <v>31825.439986468595</v>
      </c>
      <c r="AF71" s="63">
        <f t="shared" si="173"/>
        <v>31634.251140545999</v>
      </c>
    </row>
    <row r="72" spans="1:63" x14ac:dyDescent="0.35">
      <c r="A72" t="s">
        <v>6</v>
      </c>
      <c r="B72" s="63">
        <f>B23</f>
        <v>336996.20653999998</v>
      </c>
      <c r="C72" s="63">
        <f t="shared" ref="C72:AA72" si="174">C23</f>
        <v>350518.87592276727</v>
      </c>
      <c r="D72" s="63">
        <f t="shared" si="174"/>
        <v>364041.54530553456</v>
      </c>
      <c r="E72" s="63">
        <f t="shared" si="174"/>
        <v>377564.21468830184</v>
      </c>
      <c r="F72" s="63">
        <f t="shared" si="174"/>
        <v>391086.88407106913</v>
      </c>
      <c r="G72" s="63">
        <f t="shared" si="174"/>
        <v>404609.55345383642</v>
      </c>
      <c r="H72" s="63">
        <f t="shared" si="174"/>
        <v>397162.89661415468</v>
      </c>
      <c r="I72" s="63">
        <f t="shared" si="174"/>
        <v>389716.23977447295</v>
      </c>
      <c r="J72" s="63">
        <f t="shared" si="174"/>
        <v>382269.58293479122</v>
      </c>
      <c r="K72" s="63">
        <f t="shared" si="174"/>
        <v>374822.92609510949</v>
      </c>
      <c r="L72" s="63">
        <f t="shared" si="174"/>
        <v>367376.26925542764</v>
      </c>
      <c r="M72" s="63">
        <f t="shared" si="174"/>
        <v>362849.88585341902</v>
      </c>
      <c r="N72" s="63">
        <f t="shared" si="174"/>
        <v>358323.5024514104</v>
      </c>
      <c r="O72" s="63">
        <f t="shared" si="174"/>
        <v>353797.11904940178</v>
      </c>
      <c r="P72" s="63">
        <f t="shared" si="174"/>
        <v>349270.73564739316</v>
      </c>
      <c r="Q72" s="63">
        <f t="shared" si="174"/>
        <v>344744.35224538465</v>
      </c>
      <c r="R72" s="63">
        <f t="shared" si="174"/>
        <v>339041.01782111067</v>
      </c>
      <c r="S72" s="63">
        <f t="shared" si="174"/>
        <v>333337.68339683668</v>
      </c>
      <c r="T72" s="63">
        <f t="shared" si="174"/>
        <v>327634.3489725627</v>
      </c>
      <c r="U72" s="63">
        <f t="shared" si="174"/>
        <v>321931.01454828872</v>
      </c>
      <c r="V72" s="63">
        <f t="shared" si="174"/>
        <v>316227.68012401467</v>
      </c>
      <c r="W72" s="63">
        <f t="shared" si="174"/>
        <v>311445.94841352111</v>
      </c>
      <c r="X72" s="63">
        <f t="shared" si="174"/>
        <v>306664.21670302755</v>
      </c>
      <c r="Y72" s="63">
        <f t="shared" si="174"/>
        <v>301882.48499253398</v>
      </c>
      <c r="Z72" s="63">
        <f t="shared" si="174"/>
        <v>297100.75328204042</v>
      </c>
      <c r="AA72" s="63">
        <f t="shared" si="174"/>
        <v>292319.02157154679</v>
      </c>
      <c r="AB72" s="63">
        <f t="shared" ref="AB72:AF72" si="175">AB23</f>
        <v>290092.72526839352</v>
      </c>
      <c r="AC72" s="63">
        <f t="shared" si="175"/>
        <v>287866.42896524025</v>
      </c>
      <c r="AD72" s="63">
        <f t="shared" si="175"/>
        <v>285640.13266208698</v>
      </c>
      <c r="AE72" s="63">
        <f t="shared" si="175"/>
        <v>283413.83635893371</v>
      </c>
      <c r="AF72" s="63">
        <f t="shared" si="175"/>
        <v>281187.54005578056</v>
      </c>
    </row>
    <row r="73" spans="1:63" x14ac:dyDescent="0.35">
      <c r="A73" t="s">
        <v>5</v>
      </c>
      <c r="B73" s="63">
        <f>B15</f>
        <v>272762.75125000003</v>
      </c>
      <c r="C73" s="63">
        <f t="shared" ref="C73:AA73" si="176">C15</f>
        <v>276354.15161996341</v>
      </c>
      <c r="D73" s="63">
        <f t="shared" si="176"/>
        <v>279945.55198992678</v>
      </c>
      <c r="E73" s="63">
        <f t="shared" si="176"/>
        <v>283536.95235989016</v>
      </c>
      <c r="F73" s="63">
        <f t="shared" si="176"/>
        <v>287128.35272985353</v>
      </c>
      <c r="G73" s="63">
        <f t="shared" si="176"/>
        <v>290719.75309981685</v>
      </c>
      <c r="H73" s="63">
        <f t="shared" si="176"/>
        <v>288562.06589943968</v>
      </c>
      <c r="I73" s="63">
        <f t="shared" si="176"/>
        <v>286404.37869906251</v>
      </c>
      <c r="J73" s="63">
        <f t="shared" si="176"/>
        <v>284246.69149868534</v>
      </c>
      <c r="K73" s="63">
        <f t="shared" si="176"/>
        <v>282089.00429830817</v>
      </c>
      <c r="L73" s="63">
        <f t="shared" si="176"/>
        <v>279931.31709793111</v>
      </c>
      <c r="M73" s="63">
        <f t="shared" si="176"/>
        <v>276555.98091582919</v>
      </c>
      <c r="N73" s="63">
        <f t="shared" si="176"/>
        <v>273180.64473372727</v>
      </c>
      <c r="O73" s="63">
        <f t="shared" si="176"/>
        <v>269805.30855162535</v>
      </c>
      <c r="P73" s="63">
        <f t="shared" si="176"/>
        <v>266429.97236952343</v>
      </c>
      <c r="Q73" s="63">
        <f t="shared" si="176"/>
        <v>263054.63618742139</v>
      </c>
      <c r="R73" s="63">
        <f t="shared" si="176"/>
        <v>260629.65205922737</v>
      </c>
      <c r="S73" s="63">
        <f t="shared" si="176"/>
        <v>258204.66793103336</v>
      </c>
      <c r="T73" s="63">
        <f t="shared" si="176"/>
        <v>255779.68380283934</v>
      </c>
      <c r="U73" s="63">
        <f t="shared" si="176"/>
        <v>253354.69967464532</v>
      </c>
      <c r="V73" s="63">
        <f t="shared" si="176"/>
        <v>250929.71554645128</v>
      </c>
      <c r="W73" s="63">
        <f t="shared" si="176"/>
        <v>249227.8935366779</v>
      </c>
      <c r="X73" s="63">
        <f t="shared" si="176"/>
        <v>247526.07152690453</v>
      </c>
      <c r="Y73" s="63">
        <f t="shared" si="176"/>
        <v>245824.24951713116</v>
      </c>
      <c r="Z73" s="63">
        <f t="shared" si="176"/>
        <v>244122.42750735779</v>
      </c>
      <c r="AA73" s="63">
        <f t="shared" si="176"/>
        <v>242420.60549758436</v>
      </c>
      <c r="AB73" s="63">
        <f t="shared" ref="AB73:AF73" si="177">AB15</f>
        <v>244596.7463551907</v>
      </c>
      <c r="AC73" s="63">
        <f t="shared" si="177"/>
        <v>246772.88721279704</v>
      </c>
      <c r="AD73" s="63">
        <f t="shared" si="177"/>
        <v>248949.02807040338</v>
      </c>
      <c r="AE73" s="63">
        <f t="shared" si="177"/>
        <v>251125.16892800972</v>
      </c>
      <c r="AF73" s="63">
        <f t="shared" si="177"/>
        <v>253301.30978561606</v>
      </c>
    </row>
    <row r="74" spans="1:63" x14ac:dyDescent="0.35">
      <c r="A74" t="s">
        <v>4</v>
      </c>
      <c r="B74" s="63">
        <f>B8</f>
        <v>356529.17533000006</v>
      </c>
      <c r="C74" s="63">
        <f t="shared" ref="C74:AA74" si="178">C8</f>
        <v>354089.40575045662</v>
      </c>
      <c r="D74" s="63">
        <f t="shared" si="178"/>
        <v>351649.63617091317</v>
      </c>
      <c r="E74" s="63">
        <f t="shared" si="178"/>
        <v>349209.86659136973</v>
      </c>
      <c r="F74" s="63">
        <f t="shared" si="178"/>
        <v>346770.09701182629</v>
      </c>
      <c r="G74" s="63">
        <f t="shared" si="178"/>
        <v>344330.32743228285</v>
      </c>
      <c r="H74" s="63">
        <f t="shared" si="178"/>
        <v>339718.28746985708</v>
      </c>
      <c r="I74" s="63">
        <f t="shared" si="178"/>
        <v>335106.24750743131</v>
      </c>
      <c r="J74" s="63">
        <f t="shared" si="178"/>
        <v>330494.20754500554</v>
      </c>
      <c r="K74" s="63">
        <f t="shared" si="178"/>
        <v>325882.16758257977</v>
      </c>
      <c r="L74" s="63">
        <f t="shared" si="178"/>
        <v>321270.12762015389</v>
      </c>
      <c r="M74" s="63">
        <f t="shared" si="178"/>
        <v>319038.39765113703</v>
      </c>
      <c r="N74" s="63">
        <f t="shared" si="178"/>
        <v>316806.66768212017</v>
      </c>
      <c r="O74" s="63">
        <f t="shared" si="178"/>
        <v>314574.93771310331</v>
      </c>
      <c r="P74" s="63">
        <f t="shared" si="178"/>
        <v>312343.20774408645</v>
      </c>
      <c r="Q74" s="63">
        <f t="shared" si="178"/>
        <v>310111.47777506959</v>
      </c>
      <c r="R74" s="63">
        <f t="shared" si="178"/>
        <v>307655.50678473111</v>
      </c>
      <c r="S74" s="63">
        <f t="shared" si="178"/>
        <v>305199.53579439264</v>
      </c>
      <c r="T74" s="63">
        <f t="shared" si="178"/>
        <v>302743.56480405416</v>
      </c>
      <c r="U74" s="63">
        <f t="shared" si="178"/>
        <v>300287.59381371568</v>
      </c>
      <c r="V74" s="63">
        <f t="shared" si="178"/>
        <v>297831.6228233772</v>
      </c>
      <c r="W74" s="63">
        <f t="shared" si="178"/>
        <v>295253.191391712</v>
      </c>
      <c r="X74" s="63">
        <f t="shared" si="178"/>
        <v>292674.75996004679</v>
      </c>
      <c r="Y74" s="63">
        <f t="shared" si="178"/>
        <v>290096.32852838159</v>
      </c>
      <c r="Z74" s="63">
        <f t="shared" si="178"/>
        <v>287517.89709671639</v>
      </c>
      <c r="AA74" s="63">
        <f t="shared" si="178"/>
        <v>284939.46566505113</v>
      </c>
      <c r="AB74" s="63">
        <f t="shared" ref="AB74:AF74" si="179">AB8</f>
        <v>282321.84974926914</v>
      </c>
      <c r="AC74" s="63">
        <f t="shared" si="179"/>
        <v>279704.23383348715</v>
      </c>
      <c r="AD74" s="63">
        <f t="shared" si="179"/>
        <v>277086.61791770515</v>
      </c>
      <c r="AE74" s="63">
        <f t="shared" si="179"/>
        <v>274469.00200192316</v>
      </c>
      <c r="AF74" s="63">
        <f t="shared" si="179"/>
        <v>271851.38608614117</v>
      </c>
    </row>
    <row r="75" spans="1:63" x14ac:dyDescent="0.35">
      <c r="A75" t="s">
        <v>31</v>
      </c>
      <c r="B75" s="63">
        <f>B49</f>
        <v>192564.53910000002</v>
      </c>
      <c r="C75" s="63">
        <f t="shared" ref="C75:AA75" si="180">C49</f>
        <v>194986.62032385284</v>
      </c>
      <c r="D75" s="63">
        <f t="shared" si="180"/>
        <v>197408.70154770566</v>
      </c>
      <c r="E75" s="63">
        <f t="shared" si="180"/>
        <v>199830.78277155847</v>
      </c>
      <c r="F75" s="63">
        <f t="shared" si="180"/>
        <v>202252.86399541129</v>
      </c>
      <c r="G75" s="63">
        <f t="shared" si="180"/>
        <v>204674.94521926413</v>
      </c>
      <c r="H75" s="63">
        <f t="shared" si="180"/>
        <v>202722.27160703222</v>
      </c>
      <c r="I75" s="63">
        <f t="shared" si="180"/>
        <v>200769.59799480031</v>
      </c>
      <c r="J75" s="63">
        <f t="shared" si="180"/>
        <v>198816.9243825684</v>
      </c>
      <c r="K75" s="63">
        <f t="shared" si="180"/>
        <v>196864.25077033648</v>
      </c>
      <c r="L75" s="63">
        <f t="shared" si="180"/>
        <v>194911.57715810454</v>
      </c>
      <c r="M75" s="63">
        <f t="shared" si="180"/>
        <v>191413.98667286028</v>
      </c>
      <c r="N75" s="63">
        <f t="shared" si="180"/>
        <v>187916.39618761602</v>
      </c>
      <c r="O75" s="63">
        <f t="shared" si="180"/>
        <v>184418.80570237176</v>
      </c>
      <c r="P75" s="63">
        <f t="shared" si="180"/>
        <v>180921.21521712749</v>
      </c>
      <c r="Q75" s="63">
        <f t="shared" si="180"/>
        <v>177423.62473188323</v>
      </c>
      <c r="R75" s="63">
        <f t="shared" si="180"/>
        <v>176278.29503247267</v>
      </c>
      <c r="S75" s="63">
        <f t="shared" si="180"/>
        <v>175132.96533306211</v>
      </c>
      <c r="T75" s="63">
        <f t="shared" si="180"/>
        <v>173987.63563365155</v>
      </c>
      <c r="U75" s="63">
        <f t="shared" si="180"/>
        <v>172842.30593424098</v>
      </c>
      <c r="V75" s="63">
        <f t="shared" si="180"/>
        <v>171696.97623483045</v>
      </c>
      <c r="W75" s="63">
        <f t="shared" si="180"/>
        <v>171014.24875712502</v>
      </c>
      <c r="X75" s="63">
        <f t="shared" si="180"/>
        <v>170331.5212794196</v>
      </c>
      <c r="Y75" s="63">
        <f t="shared" si="180"/>
        <v>169648.79380171417</v>
      </c>
      <c r="Z75" s="63">
        <f t="shared" si="180"/>
        <v>168966.06632400875</v>
      </c>
      <c r="AA75" s="63">
        <f t="shared" si="180"/>
        <v>168283.33884630326</v>
      </c>
      <c r="AB75" s="63">
        <f t="shared" ref="AB75:AF75" si="181">AB49</f>
        <v>167296.11256623358</v>
      </c>
      <c r="AC75" s="63">
        <f t="shared" si="181"/>
        <v>166308.88628616391</v>
      </c>
      <c r="AD75" s="63">
        <f t="shared" si="181"/>
        <v>165321.66000609423</v>
      </c>
      <c r="AE75" s="63">
        <f t="shared" si="181"/>
        <v>164334.43372602455</v>
      </c>
      <c r="AF75" s="63">
        <f t="shared" si="181"/>
        <v>163347.2074459549</v>
      </c>
    </row>
    <row r="77" spans="1:63" x14ac:dyDescent="0.35">
      <c r="A77" s="39" t="s">
        <v>63</v>
      </c>
      <c r="B77" t="s">
        <v>53</v>
      </c>
      <c r="C77" t="s">
        <v>32</v>
      </c>
      <c r="D77" t="s">
        <v>6</v>
      </c>
      <c r="E77" t="s">
        <v>5</v>
      </c>
      <c r="F77" t="s">
        <v>4</v>
      </c>
      <c r="G77" t="s">
        <v>31</v>
      </c>
    </row>
    <row r="78" spans="1:63" x14ac:dyDescent="0.35">
      <c r="A78">
        <v>2020</v>
      </c>
      <c r="B78">
        <v>342052.6</v>
      </c>
      <c r="C78">
        <v>33322.601640000001</v>
      </c>
      <c r="D78">
        <v>336996.20653999998</v>
      </c>
      <c r="E78">
        <v>272762.75125000003</v>
      </c>
      <c r="F78">
        <v>356529.17533000006</v>
      </c>
      <c r="G78">
        <v>192564.53910000002</v>
      </c>
    </row>
    <row r="79" spans="1:63" x14ac:dyDescent="0.35">
      <c r="A79">
        <v>2021</v>
      </c>
      <c r="B79">
        <v>342052.6</v>
      </c>
      <c r="C79">
        <v>34585.659285912938</v>
      </c>
      <c r="D79">
        <v>350518.87592276727</v>
      </c>
      <c r="E79">
        <v>276354.15161996341</v>
      </c>
      <c r="F79">
        <v>354089.40575045662</v>
      </c>
      <c r="G79">
        <v>194986.62032385284</v>
      </c>
    </row>
    <row r="80" spans="1:63" x14ac:dyDescent="0.35">
      <c r="A80">
        <v>2022</v>
      </c>
      <c r="B80">
        <v>342052.6</v>
      </c>
      <c r="C80">
        <v>35848.716931825875</v>
      </c>
      <c r="D80">
        <v>364041.54530553456</v>
      </c>
      <c r="E80">
        <v>279945.55198992678</v>
      </c>
      <c r="F80">
        <v>351649.63617091317</v>
      </c>
      <c r="G80">
        <v>197408.70154770566</v>
      </c>
    </row>
    <row r="81" spans="1:7" x14ac:dyDescent="0.35">
      <c r="A81">
        <v>2023</v>
      </c>
      <c r="B81">
        <v>342052.6</v>
      </c>
      <c r="C81">
        <v>37111.774577738812</v>
      </c>
      <c r="D81">
        <v>377564.21468830184</v>
      </c>
      <c r="E81">
        <v>283536.95235989016</v>
      </c>
      <c r="F81">
        <v>349209.86659136973</v>
      </c>
      <c r="G81">
        <v>199830.78277155847</v>
      </c>
    </row>
    <row r="82" spans="1:7" x14ac:dyDescent="0.35">
      <c r="A82">
        <v>2024</v>
      </c>
      <c r="B82">
        <v>342052.6</v>
      </c>
      <c r="C82">
        <v>38374.832223651749</v>
      </c>
      <c r="D82">
        <v>391086.88407106913</v>
      </c>
      <c r="E82">
        <v>287128.35272985353</v>
      </c>
      <c r="F82">
        <v>346770.09701182629</v>
      </c>
      <c r="G82">
        <v>202252.86399541129</v>
      </c>
    </row>
    <row r="83" spans="1:7" x14ac:dyDescent="0.35">
      <c r="A83">
        <v>2025</v>
      </c>
      <c r="B83">
        <v>342052.6</v>
      </c>
      <c r="C83">
        <v>39637.889869564686</v>
      </c>
      <c r="D83">
        <v>404609.55345383642</v>
      </c>
      <c r="E83">
        <v>290719.75309981685</v>
      </c>
      <c r="F83">
        <v>344330.32743228285</v>
      </c>
      <c r="G83">
        <v>204674.94521926413</v>
      </c>
    </row>
    <row r="84" spans="1:7" x14ac:dyDescent="0.35">
      <c r="A84">
        <v>2026</v>
      </c>
      <c r="B84">
        <v>342052.6</v>
      </c>
      <c r="C84">
        <v>39259.729946228996</v>
      </c>
      <c r="D84">
        <v>397162.89661415468</v>
      </c>
      <c r="E84">
        <v>288562.06589943968</v>
      </c>
      <c r="F84">
        <v>339718.28746985708</v>
      </c>
      <c r="G84">
        <v>202722.27160703222</v>
      </c>
    </row>
    <row r="85" spans="1:7" x14ac:dyDescent="0.35">
      <c r="A85">
        <v>2027</v>
      </c>
      <c r="B85">
        <v>342052.6</v>
      </c>
      <c r="C85">
        <v>38881.570022893306</v>
      </c>
      <c r="D85">
        <v>389716.23977447295</v>
      </c>
      <c r="E85">
        <v>286404.37869906251</v>
      </c>
      <c r="F85">
        <v>335106.24750743131</v>
      </c>
      <c r="G85">
        <v>200769.59799480031</v>
      </c>
    </row>
    <row r="86" spans="1:7" x14ac:dyDescent="0.35">
      <c r="A86">
        <v>2028</v>
      </c>
      <c r="B86">
        <v>342052.6</v>
      </c>
      <c r="C86">
        <v>38503.410099557615</v>
      </c>
      <c r="D86">
        <v>382269.58293479122</v>
      </c>
      <c r="E86">
        <v>284246.69149868534</v>
      </c>
      <c r="F86">
        <v>330494.20754500554</v>
      </c>
      <c r="G86">
        <v>198816.9243825684</v>
      </c>
    </row>
    <row r="87" spans="1:7" x14ac:dyDescent="0.35">
      <c r="A87">
        <v>2029</v>
      </c>
      <c r="B87">
        <v>342052.6</v>
      </c>
      <c r="C87">
        <v>38125.250176221925</v>
      </c>
      <c r="D87">
        <v>374822.92609510949</v>
      </c>
      <c r="E87">
        <v>282089.00429830817</v>
      </c>
      <c r="F87">
        <v>325882.16758257977</v>
      </c>
      <c r="G87">
        <v>196864.25077033648</v>
      </c>
    </row>
    <row r="88" spans="1:7" x14ac:dyDescent="0.35">
      <c r="A88">
        <v>2030</v>
      </c>
      <c r="B88">
        <v>342052.6</v>
      </c>
      <c r="C88">
        <v>37747.090252886228</v>
      </c>
      <c r="D88">
        <v>367376.26925542764</v>
      </c>
      <c r="E88">
        <v>279931.31709793111</v>
      </c>
      <c r="F88">
        <v>321270.12762015389</v>
      </c>
      <c r="G88">
        <v>194911.57715810454</v>
      </c>
    </row>
    <row r="89" spans="1:7" x14ac:dyDescent="0.35">
      <c r="A89">
        <v>2031</v>
      </c>
      <c r="B89">
        <v>342052.59999999992</v>
      </c>
      <c r="C89">
        <v>37069.737652085823</v>
      </c>
      <c r="D89">
        <v>362849.88585341902</v>
      </c>
      <c r="E89">
        <v>276555.98091582919</v>
      </c>
      <c r="F89">
        <v>319038.39765113703</v>
      </c>
      <c r="G89">
        <v>191413.98667286028</v>
      </c>
    </row>
    <row r="90" spans="1:7" x14ac:dyDescent="0.35">
      <c r="A90">
        <v>2032</v>
      </c>
      <c r="B90">
        <v>342052.59999999986</v>
      </c>
      <c r="C90">
        <v>36392.385051285419</v>
      </c>
      <c r="D90">
        <v>358323.5024514104</v>
      </c>
      <c r="E90">
        <v>273180.64473372727</v>
      </c>
      <c r="F90">
        <v>316806.66768212017</v>
      </c>
      <c r="G90">
        <v>187916.39618761602</v>
      </c>
    </row>
    <row r="91" spans="1:7" x14ac:dyDescent="0.35">
      <c r="A91">
        <v>2033</v>
      </c>
      <c r="B91">
        <v>342052.5999999998</v>
      </c>
      <c r="C91">
        <v>35715.032450485014</v>
      </c>
      <c r="D91">
        <v>353797.11904940178</v>
      </c>
      <c r="E91">
        <v>269805.30855162535</v>
      </c>
      <c r="F91">
        <v>314574.93771310331</v>
      </c>
      <c r="G91">
        <v>184418.80570237176</v>
      </c>
    </row>
    <row r="92" spans="1:7" x14ac:dyDescent="0.35">
      <c r="A92">
        <v>2034</v>
      </c>
      <c r="B92">
        <v>342052.59999999974</v>
      </c>
      <c r="C92">
        <v>35037.67984968461</v>
      </c>
      <c r="D92">
        <v>349270.73564739316</v>
      </c>
      <c r="E92">
        <v>266429.97236952343</v>
      </c>
      <c r="F92">
        <v>312343.20774408645</v>
      </c>
      <c r="G92">
        <v>180921.21521712749</v>
      </c>
    </row>
    <row r="93" spans="1:7" x14ac:dyDescent="0.35">
      <c r="A93">
        <v>2035</v>
      </c>
      <c r="B93">
        <v>342052.59999999974</v>
      </c>
      <c r="C93">
        <v>34360.32724888419</v>
      </c>
      <c r="D93">
        <v>344744.35224538465</v>
      </c>
      <c r="E93">
        <v>263054.63618742139</v>
      </c>
      <c r="F93">
        <v>310111.47777506959</v>
      </c>
      <c r="G93">
        <v>177423.62473188323</v>
      </c>
    </row>
    <row r="94" spans="1:7" x14ac:dyDescent="0.35">
      <c r="A94">
        <v>2036</v>
      </c>
      <c r="B94">
        <v>342052.59999999974</v>
      </c>
      <c r="C94">
        <v>34138.519677659766</v>
      </c>
      <c r="D94">
        <v>339041.01782111067</v>
      </c>
      <c r="E94">
        <v>260629.65205922737</v>
      </c>
      <c r="F94">
        <v>307655.50678473111</v>
      </c>
      <c r="G94">
        <v>176278.29503247267</v>
      </c>
    </row>
    <row r="95" spans="1:7" x14ac:dyDescent="0.35">
      <c r="A95">
        <v>2037</v>
      </c>
      <c r="B95">
        <v>342052.59999999974</v>
      </c>
      <c r="C95">
        <v>33916.712106435341</v>
      </c>
      <c r="D95">
        <v>333337.68339683668</v>
      </c>
      <c r="E95">
        <v>258204.66793103336</v>
      </c>
      <c r="F95">
        <v>305199.53579439264</v>
      </c>
      <c r="G95">
        <v>175132.96533306211</v>
      </c>
    </row>
    <row r="96" spans="1:7" x14ac:dyDescent="0.35">
      <c r="A96">
        <v>2038</v>
      </c>
      <c r="B96">
        <v>342052.59999999974</v>
      </c>
      <c r="C96">
        <v>33694.904535210917</v>
      </c>
      <c r="D96">
        <v>327634.3489725627</v>
      </c>
      <c r="E96">
        <v>255779.68380283934</v>
      </c>
      <c r="F96">
        <v>302743.56480405416</v>
      </c>
      <c r="G96">
        <v>173987.63563365155</v>
      </c>
    </row>
    <row r="97" spans="1:30" x14ac:dyDescent="0.35">
      <c r="A97">
        <v>2039</v>
      </c>
      <c r="B97">
        <v>342052.59999999974</v>
      </c>
      <c r="C97">
        <v>33473.096963986492</v>
      </c>
      <c r="D97">
        <v>321931.01454828872</v>
      </c>
      <c r="E97">
        <v>253354.69967464532</v>
      </c>
      <c r="F97">
        <v>300287.59381371568</v>
      </c>
      <c r="G97">
        <v>172842.30593424098</v>
      </c>
    </row>
    <row r="98" spans="1:30" x14ac:dyDescent="0.35">
      <c r="A98">
        <v>2040</v>
      </c>
      <c r="B98">
        <v>342052.59999999974</v>
      </c>
      <c r="C98">
        <v>33251.289392762061</v>
      </c>
      <c r="D98">
        <v>316227.68012401467</v>
      </c>
      <c r="E98">
        <v>250929.71554645128</v>
      </c>
      <c r="F98">
        <v>297831.6228233772</v>
      </c>
      <c r="G98">
        <v>171696.97623483045</v>
      </c>
    </row>
    <row r="99" spans="1:30" x14ac:dyDescent="0.35">
      <c r="A99">
        <f>A98+1</f>
        <v>2041</v>
      </c>
      <c r="B99">
        <v>342052.59999999974</v>
      </c>
      <c r="C99">
        <v>33119.070588241448</v>
      </c>
      <c r="D99">
        <v>311445.94841352111</v>
      </c>
      <c r="E99">
        <v>249227.8935366779</v>
      </c>
      <c r="F99">
        <v>295253.191391712</v>
      </c>
      <c r="G99">
        <v>171014.24875712502</v>
      </c>
    </row>
    <row r="100" spans="1:30" x14ac:dyDescent="0.35">
      <c r="A100">
        <f>A99+1</f>
        <v>2042</v>
      </c>
      <c r="B100">
        <v>342052.59999999974</v>
      </c>
      <c r="C100">
        <v>32986.851783720835</v>
      </c>
      <c r="D100">
        <v>306664.21670302755</v>
      </c>
      <c r="E100">
        <v>247526.07152690453</v>
      </c>
      <c r="F100">
        <v>292674.75996004679</v>
      </c>
      <c r="G100">
        <v>170331.5212794196</v>
      </c>
    </row>
    <row r="101" spans="1:30" x14ac:dyDescent="0.35">
      <c r="A101">
        <f>A100+1</f>
        <v>2043</v>
      </c>
      <c r="B101">
        <v>342052.59999999974</v>
      </c>
      <c r="C101">
        <v>32854.632979200222</v>
      </c>
      <c r="D101">
        <v>301882.48499253398</v>
      </c>
      <c r="E101">
        <v>245824.24951713116</v>
      </c>
      <c r="F101">
        <v>290096.32852838159</v>
      </c>
      <c r="G101">
        <v>169648.79380171417</v>
      </c>
    </row>
    <row r="102" spans="1:30" x14ac:dyDescent="0.35">
      <c r="A102">
        <f>A101+1</f>
        <v>2044</v>
      </c>
      <c r="B102">
        <v>342052.59999999974</v>
      </c>
      <c r="C102">
        <v>32722.414174679605</v>
      </c>
      <c r="D102">
        <v>297100.75328204042</v>
      </c>
      <c r="E102">
        <v>244122.42750735779</v>
      </c>
      <c r="F102">
        <v>287517.89709671639</v>
      </c>
      <c r="G102">
        <v>168966.06632400875</v>
      </c>
    </row>
    <row r="103" spans="1:30" x14ac:dyDescent="0.35">
      <c r="A103">
        <f>A102+1</f>
        <v>2045</v>
      </c>
      <c r="B103">
        <v>342052.59999999974</v>
      </c>
      <c r="C103">
        <v>32590.195370158977</v>
      </c>
      <c r="D103">
        <v>292319.02157154679</v>
      </c>
      <c r="E103">
        <v>242420.60549758436</v>
      </c>
      <c r="F103">
        <v>284939.46566505113</v>
      </c>
      <c r="G103">
        <v>168283.33884630326</v>
      </c>
    </row>
    <row r="104" spans="1:30" x14ac:dyDescent="0.35">
      <c r="A104">
        <f t="shared" ref="A104:A107" si="182">A103+1</f>
        <v>2046</v>
      </c>
      <c r="B104">
        <v>342052.59999999974</v>
      </c>
      <c r="C104">
        <v>32399.006524236382</v>
      </c>
      <c r="D104">
        <v>290092.72526839352</v>
      </c>
      <c r="E104">
        <v>244596.7463551907</v>
      </c>
      <c r="F104">
        <v>282321.84974926914</v>
      </c>
      <c r="G104">
        <v>167296.11256623358</v>
      </c>
    </row>
    <row r="105" spans="1:30" x14ac:dyDescent="0.35">
      <c r="A105">
        <f t="shared" si="182"/>
        <v>2047</v>
      </c>
      <c r="B105">
        <v>342052.59999999974</v>
      </c>
      <c r="C105">
        <v>32207.817678313786</v>
      </c>
      <c r="D105">
        <v>287866.42896524025</v>
      </c>
      <c r="E105">
        <v>246772.88721279704</v>
      </c>
      <c r="F105">
        <v>279704.23383348715</v>
      </c>
      <c r="G105">
        <v>166308.88628616391</v>
      </c>
    </row>
    <row r="106" spans="1:30" x14ac:dyDescent="0.35">
      <c r="A106">
        <f t="shared" si="182"/>
        <v>2048</v>
      </c>
      <c r="B106">
        <v>342052.59999999974</v>
      </c>
      <c r="C106">
        <v>32016.62883239119</v>
      </c>
      <c r="D106">
        <v>285640.13266208698</v>
      </c>
      <c r="E106">
        <v>248949.02807040338</v>
      </c>
      <c r="F106">
        <v>277086.61791770515</v>
      </c>
      <c r="G106">
        <v>165321.66000609423</v>
      </c>
    </row>
    <row r="107" spans="1:30" x14ac:dyDescent="0.35">
      <c r="A107">
        <f t="shared" si="182"/>
        <v>2049</v>
      </c>
      <c r="B107">
        <v>342052.59999999974</v>
      </c>
      <c r="C107">
        <v>31825.439986468595</v>
      </c>
      <c r="D107">
        <v>283413.83635893371</v>
      </c>
      <c r="E107">
        <v>251125.16892800972</v>
      </c>
      <c r="F107">
        <v>274469.00200192316</v>
      </c>
      <c r="G107">
        <v>164334.43372602455</v>
      </c>
    </row>
    <row r="108" spans="1:30" x14ac:dyDescent="0.35">
      <c r="A108">
        <f>A107+1</f>
        <v>2050</v>
      </c>
      <c r="B108">
        <v>342052.59999999974</v>
      </c>
      <c r="C108">
        <v>31634.251140545999</v>
      </c>
      <c r="D108">
        <v>281187.54005578056</v>
      </c>
      <c r="E108">
        <v>253301.30978561606</v>
      </c>
      <c r="F108">
        <v>271851.38608614117</v>
      </c>
      <c r="G108">
        <v>163347.2074459549</v>
      </c>
    </row>
    <row r="111" spans="1:30" x14ac:dyDescent="0.35">
      <c r="A111" s="42"/>
      <c r="B111" s="187" t="s">
        <v>64</v>
      </c>
      <c r="C111" s="187"/>
      <c r="D111" s="187"/>
      <c r="E111" s="187"/>
      <c r="F111" s="187"/>
      <c r="G111" s="187" t="s">
        <v>65</v>
      </c>
      <c r="H111" s="187"/>
      <c r="I111" s="187"/>
      <c r="J111" s="187" t="s">
        <v>66</v>
      </c>
      <c r="K111" s="187"/>
      <c r="L111" s="187"/>
      <c r="M111" s="187"/>
      <c r="N111" s="187"/>
      <c r="O111" s="187" t="s">
        <v>67</v>
      </c>
      <c r="P111" s="187"/>
      <c r="Q111" s="187"/>
      <c r="R111" s="187"/>
      <c r="S111" s="187"/>
      <c r="T111" s="187"/>
      <c r="U111" s="187" t="s">
        <v>68</v>
      </c>
      <c r="V111" s="187"/>
      <c r="W111" s="187"/>
      <c r="X111" s="187"/>
      <c r="Y111" s="187"/>
      <c r="Z111" s="187" t="s">
        <v>69</v>
      </c>
      <c r="AA111" s="187"/>
      <c r="AB111" s="187"/>
      <c r="AC111" s="187"/>
      <c r="AD111" s="187"/>
    </row>
    <row r="112" spans="1:30" x14ac:dyDescent="0.35">
      <c r="A112" s="42" t="s">
        <v>78</v>
      </c>
      <c r="B112" s="42" t="s">
        <v>70</v>
      </c>
      <c r="C112" s="42" t="s">
        <v>71</v>
      </c>
      <c r="D112" s="42" t="s">
        <v>72</v>
      </c>
      <c r="E112" s="42" t="s">
        <v>73</v>
      </c>
      <c r="F112" s="42" t="s">
        <v>74</v>
      </c>
      <c r="G112" s="42" t="s">
        <v>70</v>
      </c>
      <c r="H112" s="42" t="s">
        <v>72</v>
      </c>
      <c r="I112" s="42" t="s">
        <v>74</v>
      </c>
      <c r="J112" s="42" t="s">
        <v>70</v>
      </c>
      <c r="K112" s="42" t="s">
        <v>75</v>
      </c>
      <c r="L112" s="42" t="s">
        <v>72</v>
      </c>
      <c r="M112" s="42" t="s">
        <v>74</v>
      </c>
      <c r="N112" s="42" t="s">
        <v>76</v>
      </c>
      <c r="O112" s="42" t="s">
        <v>70</v>
      </c>
      <c r="P112" s="42" t="s">
        <v>77</v>
      </c>
      <c r="Q112" s="42" t="s">
        <v>72</v>
      </c>
      <c r="R112" s="42" t="s">
        <v>73</v>
      </c>
      <c r="S112" s="42" t="s">
        <v>74</v>
      </c>
      <c r="T112" s="42" t="s">
        <v>71</v>
      </c>
      <c r="U112" s="42" t="s">
        <v>70</v>
      </c>
      <c r="V112" s="42" t="s">
        <v>77</v>
      </c>
      <c r="W112" s="42" t="s">
        <v>71</v>
      </c>
      <c r="X112" s="42" t="s">
        <v>72</v>
      </c>
      <c r="Y112" s="42" t="s">
        <v>74</v>
      </c>
      <c r="Z112" s="42" t="s">
        <v>70</v>
      </c>
      <c r="AA112" s="42" t="s">
        <v>77</v>
      </c>
      <c r="AB112" s="42" t="s">
        <v>72</v>
      </c>
      <c r="AC112" s="42" t="s">
        <v>74</v>
      </c>
      <c r="AD112" s="42" t="s">
        <v>71</v>
      </c>
    </row>
    <row r="113" spans="1:30" x14ac:dyDescent="0.3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</row>
    <row r="114" spans="1:30" x14ac:dyDescent="0.35">
      <c r="A114" s="41">
        <v>2020</v>
      </c>
      <c r="B114" s="33">
        <v>1.70549842494939E-2</v>
      </c>
      <c r="C114" s="33">
        <v>9.7543505748386578E-3</v>
      </c>
      <c r="D114" s="33">
        <v>0.95730713852405691</v>
      </c>
      <c r="E114" s="33">
        <v>6.8211751120076589E-3</v>
      </c>
      <c r="F114" s="33">
        <v>9.0623515396028396E-3</v>
      </c>
      <c r="G114" s="171">
        <v>0.18937725025722213</v>
      </c>
      <c r="H114" s="171">
        <v>0.76319057331563145</v>
      </c>
      <c r="I114" s="172">
        <v>4.7432176427146464E-2</v>
      </c>
      <c r="J114" s="33">
        <v>3.001274344849188E-2</v>
      </c>
      <c r="K114" s="33">
        <v>4.3647087577094491E-2</v>
      </c>
      <c r="L114" s="33">
        <v>0.8929624524847033</v>
      </c>
      <c r="M114" s="33">
        <v>3.3377716489710378E-2</v>
      </c>
      <c r="N114" s="33">
        <v>0</v>
      </c>
      <c r="O114" s="33">
        <v>0.43006070554877496</v>
      </c>
      <c r="P114" s="33">
        <v>0.11458099314064607</v>
      </c>
      <c r="Q114" s="33">
        <v>7.4782030304806874E-2</v>
      </c>
      <c r="R114" s="33">
        <v>1.7454289627825418E-2</v>
      </c>
      <c r="S114" s="33">
        <v>0.3445704083101046</v>
      </c>
      <c r="T114" s="33">
        <v>1.8551573067842046E-2</v>
      </c>
      <c r="U114" s="33">
        <v>0.18571172597225799</v>
      </c>
      <c r="V114" s="33">
        <v>2.8367081657872353E-2</v>
      </c>
      <c r="W114" s="33">
        <v>0.20515836529310044</v>
      </c>
      <c r="X114" s="33">
        <v>6.1040695112417012E-2</v>
      </c>
      <c r="Y114" s="33">
        <v>0.51972213196435235</v>
      </c>
      <c r="Z114" s="33">
        <v>0.39082612967965707</v>
      </c>
      <c r="AA114" s="33">
        <v>1.7687438434504578E-2</v>
      </c>
      <c r="AB114" s="33">
        <v>3.1028103761602695E-2</v>
      </c>
      <c r="AC114" s="33">
        <v>0.40405862696035705</v>
      </c>
      <c r="AD114" s="33">
        <v>0.15639970116387852</v>
      </c>
    </row>
    <row r="115" spans="1:30" x14ac:dyDescent="0.35">
      <c r="A115" s="41">
        <v>2021</v>
      </c>
      <c r="B115" s="33">
        <v>1.7054984249493865E-2</v>
      </c>
      <c r="C115" s="33">
        <v>9.7543505748386578E-3</v>
      </c>
      <c r="D115" s="33">
        <v>0.95730713852405691</v>
      </c>
      <c r="E115" s="33">
        <v>6.8211751120076589E-3</v>
      </c>
      <c r="F115" s="33">
        <v>9.0623515396028396E-3</v>
      </c>
      <c r="G115" s="173">
        <v>0.18937695446258004</v>
      </c>
      <c r="H115" s="173">
        <v>0.76319108286196902</v>
      </c>
      <c r="I115" s="33">
        <v>4.7431962675450981E-2</v>
      </c>
      <c r="J115" s="33">
        <v>3.6135546692555323E-2</v>
      </c>
      <c r="K115" s="33">
        <v>4.4916982880222653E-2</v>
      </c>
      <c r="L115" s="33">
        <v>0.88339816820283423</v>
      </c>
      <c r="M115" s="33">
        <v>3.459174461768344E-2</v>
      </c>
      <c r="N115" s="33">
        <v>1.154316019040833E-3</v>
      </c>
      <c r="O115" s="33">
        <v>0.42109543379556325</v>
      </c>
      <c r="P115" s="33">
        <v>0.11645368797309785</v>
      </c>
      <c r="Q115" s="33">
        <v>7.1569725701900191E-2</v>
      </c>
      <c r="R115" s="33">
        <v>2.8518242086456463E-2</v>
      </c>
      <c r="S115" s="33">
        <v>0.34141114631510566</v>
      </c>
      <c r="T115" s="33">
        <v>2.095176412787661E-2</v>
      </c>
      <c r="U115" s="33">
        <v>0.19043964553766993</v>
      </c>
      <c r="V115" s="33">
        <v>3.0729066888978366E-2</v>
      </c>
      <c r="W115" s="33">
        <v>0.20921429685447968</v>
      </c>
      <c r="X115" s="33">
        <v>5.6426032343020405E-2</v>
      </c>
      <c r="Y115" s="33">
        <v>0.51319095837585149</v>
      </c>
      <c r="Z115" s="33">
        <v>0.41135957313612947</v>
      </c>
      <c r="AA115" s="33">
        <v>1.9882692769624944E-2</v>
      </c>
      <c r="AB115" s="33">
        <v>5.0798523986652876E-2</v>
      </c>
      <c r="AC115" s="33">
        <v>0.38268696532146729</v>
      </c>
      <c r="AD115" s="33">
        <v>0.13527224478612532</v>
      </c>
    </row>
    <row r="116" spans="1:30" x14ac:dyDescent="0.35">
      <c r="A116" s="41">
        <v>2022</v>
      </c>
      <c r="B116" s="33">
        <v>1.7054984249493865E-2</v>
      </c>
      <c r="C116" s="33">
        <v>9.7543505748386578E-3</v>
      </c>
      <c r="D116" s="33">
        <v>0.95730713852405691</v>
      </c>
      <c r="E116" s="33">
        <v>6.8211751120076589E-3</v>
      </c>
      <c r="F116" s="33">
        <v>9.0623515396028396E-3</v>
      </c>
      <c r="G116" s="173">
        <v>0.18937667951139997</v>
      </c>
      <c r="H116" s="173">
        <v>0.76319155650261994</v>
      </c>
      <c r="I116" s="33">
        <v>4.7431763985980112E-2</v>
      </c>
      <c r="J116" s="33">
        <v>4.1803475238755834E-2</v>
      </c>
      <c r="K116" s="33">
        <v>4.6092535246087876E-2</v>
      </c>
      <c r="L116" s="33">
        <v>0.87454443279042438</v>
      </c>
      <c r="M116" s="33">
        <v>3.5715580287088718E-2</v>
      </c>
      <c r="N116" s="33">
        <v>2.2228757056519674E-3</v>
      </c>
      <c r="O116" s="33">
        <v>0.41236019163248033</v>
      </c>
      <c r="P116" s="33">
        <v>0.11827833348405632</v>
      </c>
      <c r="Q116" s="33">
        <v>6.8439841925881498E-2</v>
      </c>
      <c r="R116" s="33">
        <v>3.9298317322029402E-2</v>
      </c>
      <c r="S116" s="33">
        <v>0.33833294418776305</v>
      </c>
      <c r="T116" s="33">
        <v>2.3290371447789445E-2</v>
      </c>
      <c r="U116" s="33">
        <v>0.19523317037118831</v>
      </c>
      <c r="V116" s="33">
        <v>3.3123827354985418E-2</v>
      </c>
      <c r="W116" s="33">
        <v>0.21332650908515188</v>
      </c>
      <c r="X116" s="33">
        <v>5.1747335872538699E-2</v>
      </c>
      <c r="Y116" s="33">
        <v>0.5065691573161355</v>
      </c>
      <c r="Z116" s="33">
        <v>0.43138915159103863</v>
      </c>
      <c r="AA116" s="33">
        <v>2.2024078311070158E-2</v>
      </c>
      <c r="AB116" s="33">
        <v>7.0083802845194415E-2</v>
      </c>
      <c r="AC116" s="33">
        <v>0.36183973750917436</v>
      </c>
      <c r="AD116" s="33">
        <v>0.11466322974352226</v>
      </c>
    </row>
    <row r="117" spans="1:30" x14ac:dyDescent="0.35">
      <c r="A117" s="41">
        <v>2023</v>
      </c>
      <c r="B117" s="33">
        <v>1.7054984249493865E-2</v>
      </c>
      <c r="C117" s="33">
        <v>9.7543505748386578E-3</v>
      </c>
      <c r="D117" s="33">
        <v>0.95730713852405691</v>
      </c>
      <c r="E117" s="33">
        <v>6.8211751120076589E-3</v>
      </c>
      <c r="F117" s="33">
        <v>9.0623515396028396E-3</v>
      </c>
      <c r="G117" s="173">
        <v>0.18937642327553028</v>
      </c>
      <c r="H117" s="173">
        <v>0.76319199790361358</v>
      </c>
      <c r="I117" s="33">
        <v>4.7431578820856066E-2</v>
      </c>
      <c r="J117" s="33">
        <v>4.706540384728379E-2</v>
      </c>
      <c r="K117" s="33">
        <v>4.718388150678051E-2</v>
      </c>
      <c r="L117" s="33">
        <v>0.86632490015532682</v>
      </c>
      <c r="M117" s="33">
        <v>3.6758914375005544E-2</v>
      </c>
      <c r="N117" s="33">
        <v>3.2148932900422926E-3</v>
      </c>
      <c r="O117" s="33">
        <v>0.40384623809985709</v>
      </c>
      <c r="P117" s="33">
        <v>0.12005675551332347</v>
      </c>
      <c r="Q117" s="33">
        <v>6.5389247044361942E-2</v>
      </c>
      <c r="R117" s="33">
        <v>4.9805302465696935E-2</v>
      </c>
      <c r="S117" s="33">
        <v>0.33533272171116402</v>
      </c>
      <c r="T117" s="33">
        <v>2.5569735165596595E-2</v>
      </c>
      <c r="U117" s="33">
        <v>0.2000936755347974</v>
      </c>
      <c r="V117" s="33">
        <v>3.5552050012609721E-2</v>
      </c>
      <c r="W117" s="33">
        <v>0.21749618160698342</v>
      </c>
      <c r="X117" s="33">
        <v>4.7003263578446863E-2</v>
      </c>
      <c r="Y117" s="33">
        <v>0.49985482926716246</v>
      </c>
      <c r="Z117" s="33">
        <v>0.45093318657537268</v>
      </c>
      <c r="AA117" s="33">
        <v>2.4113553835039301E-2</v>
      </c>
      <c r="AB117" s="33">
        <v>8.8901581039702249E-2</v>
      </c>
      <c r="AC117" s="33">
        <v>0.34149787406920901</v>
      </c>
      <c r="AD117" s="33">
        <v>9.4553804480676545E-2</v>
      </c>
    </row>
    <row r="118" spans="1:30" x14ac:dyDescent="0.35">
      <c r="A118" s="41">
        <v>2024</v>
      </c>
      <c r="B118" s="33">
        <v>1.7054984249493865E-2</v>
      </c>
      <c r="C118" s="33">
        <v>9.7543505748386578E-3</v>
      </c>
      <c r="D118" s="33">
        <v>0.95730713852405691</v>
      </c>
      <c r="E118" s="33">
        <v>6.8211751120076589E-3</v>
      </c>
      <c r="F118" s="33">
        <v>9.0623515396028396E-3</v>
      </c>
      <c r="G118" s="173">
        <v>0.18937618390700073</v>
      </c>
      <c r="H118" s="173">
        <v>0.76319241024832907</v>
      </c>
      <c r="I118" s="33">
        <v>4.7431405844670038E-2</v>
      </c>
      <c r="J118" s="33">
        <v>5.1963447478907646E-2</v>
      </c>
      <c r="K118" s="33">
        <v>4.8199756483384856E-2</v>
      </c>
      <c r="L118" s="33">
        <v>0.85867378352614709</v>
      </c>
      <c r="M118" s="33">
        <v>3.7730097426918269E-2</v>
      </c>
      <c r="N118" s="33">
        <v>4.1383085951847967E-3</v>
      </c>
      <c r="O118" s="33">
        <v>0.39554526956558878</v>
      </c>
      <c r="P118" s="33">
        <v>0.12179068855031148</v>
      </c>
      <c r="Q118" s="33">
        <v>6.2414965821747444E-2</v>
      </c>
      <c r="R118" s="33">
        <v>6.0049444947026138E-2</v>
      </c>
      <c r="S118" s="33">
        <v>0.33240755277776263</v>
      </c>
      <c r="T118" s="33">
        <v>2.7792078337563638E-2</v>
      </c>
      <c r="U118" s="33">
        <v>0.20502257478856345</v>
      </c>
      <c r="V118" s="33">
        <v>3.8014441151446685E-2</v>
      </c>
      <c r="W118" s="33">
        <v>0.22172452723969205</v>
      </c>
      <c r="X118" s="33">
        <v>4.2192435567146309E-2</v>
      </c>
      <c r="Y118" s="33">
        <v>0.49304602125315133</v>
      </c>
      <c r="Z118" s="33">
        <v>0.47000912198139916</v>
      </c>
      <c r="AA118" s="33">
        <v>2.6152984288354504E-2</v>
      </c>
      <c r="AB118" s="33">
        <v>0.10726865424700575</v>
      </c>
      <c r="AC118" s="33">
        <v>0.32164321901307391</v>
      </c>
      <c r="AD118" s="33">
        <v>7.4926020470166471E-2</v>
      </c>
    </row>
    <row r="119" spans="1:30" x14ac:dyDescent="0.35">
      <c r="A119" s="41">
        <v>2025</v>
      </c>
      <c r="B119" s="33">
        <v>1.7054984249493865E-2</v>
      </c>
      <c r="C119" s="33">
        <v>9.7543505748386578E-3</v>
      </c>
      <c r="D119" s="33">
        <v>0.95730713852405691</v>
      </c>
      <c r="E119" s="33">
        <v>6.8211751120076589E-3</v>
      </c>
      <c r="F119" s="33">
        <v>9.0623515396028396E-3</v>
      </c>
      <c r="G119" s="173">
        <v>0.18937595979338268</v>
      </c>
      <c r="H119" s="173">
        <v>0.7631927963143933</v>
      </c>
      <c r="I119" s="33">
        <v>4.7431243892223918E-2</v>
      </c>
      <c r="J119" s="33">
        <v>5.6534090909090756E-2</v>
      </c>
      <c r="K119" s="33">
        <v>4.914772727272728E-2</v>
      </c>
      <c r="L119" s="33">
        <v>0.85153409090909082</v>
      </c>
      <c r="M119" s="33">
        <v>3.8636363636363712E-2</v>
      </c>
      <c r="N119" s="33">
        <v>5.0000000000000001E-3</v>
      </c>
      <c r="O119" s="33">
        <v>0.38744939271255063</v>
      </c>
      <c r="P119" s="33">
        <v>0.12348178137651825</v>
      </c>
      <c r="Q119" s="33">
        <v>5.9514170040485835E-2</v>
      </c>
      <c r="R119" s="33">
        <v>7.0040485829959517E-2</v>
      </c>
      <c r="S119" s="33">
        <v>0.32955465587044541</v>
      </c>
      <c r="T119" s="33">
        <v>2.9959514170040426E-2</v>
      </c>
      <c r="U119" s="33">
        <v>0.21002132196162046</v>
      </c>
      <c r="V119" s="33">
        <v>4.0511727078891273E-2</v>
      </c>
      <c r="W119" s="33">
        <v>0.22601279317697223</v>
      </c>
      <c r="X119" s="33">
        <v>3.7313432835820892E-2</v>
      </c>
      <c r="Y119" s="33">
        <v>0.48614072494669508</v>
      </c>
      <c r="Z119" s="33">
        <v>0.48863357599164592</v>
      </c>
      <c r="AA119" s="33">
        <v>2.8144146340248744E-2</v>
      </c>
      <c r="AB119" s="33">
        <v>0.12520102311758763</v>
      </c>
      <c r="AC119" s="33">
        <v>0.30225847576921278</v>
      </c>
      <c r="AD119" s="33">
        <v>5.5762778781304694E-2</v>
      </c>
    </row>
    <row r="120" spans="1:30" x14ac:dyDescent="0.35">
      <c r="A120" s="41">
        <v>2026</v>
      </c>
      <c r="B120" s="33">
        <v>1.7054984249493865E-2</v>
      </c>
      <c r="C120" s="33">
        <v>9.7543505748386578E-3</v>
      </c>
      <c r="D120" s="33">
        <v>0.95730713852405691</v>
      </c>
      <c r="E120" s="33">
        <v>6.8211751120076589E-3</v>
      </c>
      <c r="F120" s="33">
        <v>9.0623515396028396E-3</v>
      </c>
      <c r="G120" s="173">
        <v>0.18937595979338268</v>
      </c>
      <c r="H120" s="173">
        <v>0.7631927963143933</v>
      </c>
      <c r="I120" s="33">
        <v>4.7431243892223918E-2</v>
      </c>
      <c r="J120" s="33">
        <v>6.8356330465908291E-2</v>
      </c>
      <c r="K120" s="33">
        <v>5.8657121413313341E-2</v>
      </c>
      <c r="L120" s="33">
        <v>0.81906783672998074</v>
      </c>
      <c r="M120" s="33">
        <v>4.8611512037411299E-2</v>
      </c>
      <c r="N120" s="33">
        <v>6.0000000000000001E-3</v>
      </c>
      <c r="O120" s="33">
        <v>0.39026382422608841</v>
      </c>
      <c r="P120" s="33">
        <v>0.12162051784693297</v>
      </c>
      <c r="Q120" s="33">
        <v>5.8564077432001968E-2</v>
      </c>
      <c r="R120" s="33">
        <v>6.7630482724822361E-2</v>
      </c>
      <c r="S120" s="33">
        <v>0.32875929102344204</v>
      </c>
      <c r="T120" s="33">
        <v>3.316180674671234E-2</v>
      </c>
      <c r="U120" s="33">
        <v>0.21290838972567852</v>
      </c>
      <c r="V120" s="33">
        <v>4.2057774867205154E-2</v>
      </c>
      <c r="W120" s="33">
        <v>0.23917630793858691</v>
      </c>
      <c r="X120" s="33">
        <v>3.2598413737902933E-2</v>
      </c>
      <c r="Y120" s="33">
        <v>0.47325911373062651</v>
      </c>
      <c r="Z120" s="33">
        <v>0.49254797385357885</v>
      </c>
      <c r="AA120" s="33">
        <v>2.7473652967542918E-2</v>
      </c>
      <c r="AB120" s="33">
        <v>0.12483460563473953</v>
      </c>
      <c r="AC120" s="33">
        <v>0.29058731962690665</v>
      </c>
      <c r="AD120" s="33">
        <v>6.455644791723171E-2</v>
      </c>
    </row>
    <row r="121" spans="1:30" x14ac:dyDescent="0.35">
      <c r="A121" s="41">
        <v>2027</v>
      </c>
      <c r="B121" s="33">
        <v>1.7054984249493865E-2</v>
      </c>
      <c r="C121" s="33">
        <v>9.7543505748386578E-3</v>
      </c>
      <c r="D121" s="33">
        <v>0.95730713852405691</v>
      </c>
      <c r="E121" s="33">
        <v>6.8211751120076589E-3</v>
      </c>
      <c r="F121" s="33">
        <v>9.0623515396028396E-3</v>
      </c>
      <c r="G121" s="173">
        <v>0.18937595979338268</v>
      </c>
      <c r="H121" s="173">
        <v>0.7631927963143933</v>
      </c>
      <c r="I121" s="33">
        <v>4.7431243892223911E-2</v>
      </c>
      <c r="J121" s="33">
        <v>8.056566130735815E-2</v>
      </c>
      <c r="K121" s="33">
        <v>6.8477878183311858E-2</v>
      </c>
      <c r="L121" s="33">
        <v>0.7855712944490082</v>
      </c>
      <c r="M121" s="33">
        <v>5.8913273090012971E-2</v>
      </c>
      <c r="N121" s="33">
        <v>7.000000000000001E-3</v>
      </c>
      <c r="O121" s="33">
        <v>0.39312788398154253</v>
      </c>
      <c r="P121" s="33">
        <v>0.11972643375082402</v>
      </c>
      <c r="Q121" s="33">
        <v>5.7597231377719188E-2</v>
      </c>
      <c r="R121" s="33">
        <v>6.51779828609097E-2</v>
      </c>
      <c r="S121" s="33">
        <v>0.32794990112063288</v>
      </c>
      <c r="T121" s="33">
        <v>3.642056690837172E-2</v>
      </c>
      <c r="U121" s="33">
        <v>0.21593619558735835</v>
      </c>
      <c r="V121" s="33">
        <v>4.3679189028026283E-2</v>
      </c>
      <c r="W121" s="33">
        <v>0.25298151460942159</v>
      </c>
      <c r="X121" s="33">
        <v>2.765354800238521E-2</v>
      </c>
      <c r="Y121" s="33">
        <v>0.45974955277280871</v>
      </c>
      <c r="Z121" s="33">
        <v>0.49661889406445581</v>
      </c>
      <c r="AA121" s="33">
        <v>2.6776349035116557E-2</v>
      </c>
      <c r="AB121" s="33">
        <v>0.12445353646671978</v>
      </c>
      <c r="AC121" s="33">
        <v>0.27844947694973105</v>
      </c>
      <c r="AD121" s="33">
        <v>7.3701743483976359E-2</v>
      </c>
    </row>
    <row r="122" spans="1:30" x14ac:dyDescent="0.35">
      <c r="A122" s="41">
        <v>2028</v>
      </c>
      <c r="B122" s="33">
        <v>1.7054984249493865E-2</v>
      </c>
      <c r="C122" s="33">
        <v>9.7543505748386578E-3</v>
      </c>
      <c r="D122" s="33">
        <v>0.95730713852405691</v>
      </c>
      <c r="E122" s="33">
        <v>6.8211751120076589E-3</v>
      </c>
      <c r="F122" s="33">
        <v>9.0623515396028396E-3</v>
      </c>
      <c r="G122" s="173">
        <v>0.1893759597933827</v>
      </c>
      <c r="H122" s="173">
        <v>0.7631927963143933</v>
      </c>
      <c r="I122" s="33">
        <v>4.7431243892223911E-2</v>
      </c>
      <c r="J122" s="33">
        <v>9.3181411441865883E-2</v>
      </c>
      <c r="K122" s="33">
        <v>7.8625544353636057E-2</v>
      </c>
      <c r="L122" s="33">
        <v>0.75099302034242077</v>
      </c>
      <c r="M122" s="33">
        <v>6.9557955019984546E-2</v>
      </c>
      <c r="N122" s="33">
        <v>8.0000000000000002E-3</v>
      </c>
      <c r="O122" s="33">
        <v>0.39604289633385981</v>
      </c>
      <c r="P122" s="33">
        <v>0.11779865325463466</v>
      </c>
      <c r="Q122" s="33">
        <v>5.6613184803391815E-2</v>
      </c>
      <c r="R122" s="33">
        <v>6.2681852190539553E-2</v>
      </c>
      <c r="S122" s="33">
        <v>0.32712611189625085</v>
      </c>
      <c r="T122" s="33">
        <v>3.9737301521323397E-2</v>
      </c>
      <c r="U122" s="33">
        <v>0.21911528764611501</v>
      </c>
      <c r="V122" s="33">
        <v>4.5381618152647324E-2</v>
      </c>
      <c r="W122" s="33">
        <v>0.26747650699060288</v>
      </c>
      <c r="X122" s="33">
        <v>2.2461608984643593E-2</v>
      </c>
      <c r="Y122" s="33">
        <v>0.44556497822599145</v>
      </c>
      <c r="Z122" s="33">
        <v>0.5008559162799493</v>
      </c>
      <c r="AA122" s="33">
        <v>2.6050593653139918E-2</v>
      </c>
      <c r="AB122" s="33">
        <v>0.12405691888472314</v>
      </c>
      <c r="AC122" s="33">
        <v>0.26581638506697991</v>
      </c>
      <c r="AD122" s="33">
        <v>8.3220186115207234E-2</v>
      </c>
    </row>
    <row r="123" spans="1:30" x14ac:dyDescent="0.35">
      <c r="A123" s="41">
        <v>2029</v>
      </c>
      <c r="B123" s="33">
        <v>1.7054984249493865E-2</v>
      </c>
      <c r="C123" s="33">
        <v>9.7543505748386578E-3</v>
      </c>
      <c r="D123" s="33">
        <v>0.95730713852405691</v>
      </c>
      <c r="E123" s="33">
        <v>6.8211751120076589E-3</v>
      </c>
      <c r="F123" s="33">
        <v>9.0623515396028396E-3</v>
      </c>
      <c r="G123" s="173">
        <v>0.1893759597933827</v>
      </c>
      <c r="H123" s="173">
        <v>0.7631927963143933</v>
      </c>
      <c r="I123" s="33">
        <v>4.7431243892223911E-2</v>
      </c>
      <c r="J123" s="33">
        <v>0.10622421742295547</v>
      </c>
      <c r="K123" s="33">
        <v>8.9116719242902293E-2</v>
      </c>
      <c r="L123" s="33">
        <v>0.71527808784275648</v>
      </c>
      <c r="M123" s="33">
        <v>8.0562970152875571E-2</v>
      </c>
      <c r="N123" s="33">
        <v>9.0000000000000011E-3</v>
      </c>
      <c r="O123" s="33">
        <v>0.3990102331823519</v>
      </c>
      <c r="P123" s="33">
        <v>0.11583626908236877</v>
      </c>
      <c r="Q123" s="33">
        <v>5.5611474584801215E-2</v>
      </c>
      <c r="R123" s="33">
        <v>6.0140915953699067E-2</v>
      </c>
      <c r="S123" s="33">
        <v>0.32628753564838126</v>
      </c>
      <c r="T123" s="33">
        <v>4.3113571548397844E-2</v>
      </c>
      <c r="U123" s="33">
        <v>0.22245729509481268</v>
      </c>
      <c r="V123" s="33">
        <v>4.7171289766494359E-2</v>
      </c>
      <c r="W123" s="33">
        <v>0.28271430810217846</v>
      </c>
      <c r="X123" s="33">
        <v>1.7003604450713052E-2</v>
      </c>
      <c r="Y123" s="33">
        <v>0.43065350258580182</v>
      </c>
      <c r="Z123" s="33">
        <v>0.50526941817589099</v>
      </c>
      <c r="AA123" s="33">
        <v>2.5294609239692414E-2</v>
      </c>
      <c r="AB123" s="33">
        <v>0.12364378145917342</v>
      </c>
      <c r="AC123" s="33">
        <v>0.25265710193359292</v>
      </c>
      <c r="AD123" s="33">
        <v>9.3135089191649589E-2</v>
      </c>
    </row>
    <row r="124" spans="1:30" x14ac:dyDescent="0.35">
      <c r="A124" s="41">
        <v>2030</v>
      </c>
      <c r="B124" s="33">
        <v>1.7054984249493865E-2</v>
      </c>
      <c r="C124" s="33">
        <v>9.7543505748386578E-3</v>
      </c>
      <c r="D124" s="33">
        <v>0.95730713852405691</v>
      </c>
      <c r="E124" s="33">
        <v>6.8211751120076589E-3</v>
      </c>
      <c r="F124" s="33">
        <v>9.0623515396028396E-3</v>
      </c>
      <c r="G124" s="173">
        <v>0.18937595979338265</v>
      </c>
      <c r="H124" s="173">
        <v>0.76319279631439352</v>
      </c>
      <c r="I124" s="33">
        <v>4.7431243892223925E-2</v>
      </c>
      <c r="J124" s="33">
        <v>0.11971613699475457</v>
      </c>
      <c r="K124" s="33">
        <v>9.99691453255169E-2</v>
      </c>
      <c r="L124" s="33">
        <v>0.67836778771983952</v>
      </c>
      <c r="M124" s="33">
        <v>9.1946929959888929E-2</v>
      </c>
      <c r="N124" s="33">
        <v>1.0000000000000002E-2</v>
      </c>
      <c r="O124" s="33">
        <v>0.40203131612357179</v>
      </c>
      <c r="P124" s="33">
        <v>0.11383834109183248</v>
      </c>
      <c r="Q124" s="33">
        <v>5.4591620820990262E-2</v>
      </c>
      <c r="R124" s="33">
        <v>5.7553956834532384E-2</v>
      </c>
      <c r="S124" s="33">
        <v>0.3254337706305544</v>
      </c>
      <c r="T124" s="33">
        <v>4.6550994498518745E-2</v>
      </c>
      <c r="U124" s="33">
        <v>0.22597507036590264</v>
      </c>
      <c r="V124" s="33">
        <v>4.9055086449537683E-2</v>
      </c>
      <c r="W124" s="33">
        <v>0.29875351829513463</v>
      </c>
      <c r="X124" s="33">
        <v>1.1258544431041415E-2</v>
      </c>
      <c r="Y124" s="33">
        <v>0.41495778045838355</v>
      </c>
      <c r="Z124" s="33">
        <v>0.50987066031313821</v>
      </c>
      <c r="AA124" s="33">
        <v>2.4506466984343053E-2</v>
      </c>
      <c r="AB124" s="33">
        <v>0.12321307011572498</v>
      </c>
      <c r="AC124" s="33">
        <v>0.23893805309734514</v>
      </c>
      <c r="AD124" s="33">
        <v>0.10347174948944858</v>
      </c>
    </row>
    <row r="125" spans="1:30" x14ac:dyDescent="0.35">
      <c r="A125" s="41">
        <v>2031</v>
      </c>
      <c r="B125" s="33">
        <v>1.7054984249493865E-2</v>
      </c>
      <c r="C125" s="33">
        <v>9.7543505748386578E-3</v>
      </c>
      <c r="D125" s="33">
        <v>0.95730713852405691</v>
      </c>
      <c r="E125" s="33">
        <v>6.8211751120076589E-3</v>
      </c>
      <c r="F125" s="33">
        <v>9.0623515396028396E-3</v>
      </c>
      <c r="G125" s="173">
        <v>0.18937595979338265</v>
      </c>
      <c r="H125" s="173">
        <v>0.76319279631439352</v>
      </c>
      <c r="I125" s="33">
        <v>4.7431243892223925E-2</v>
      </c>
      <c r="J125" s="33">
        <v>0.11971613699475457</v>
      </c>
      <c r="K125" s="33">
        <v>9.9969145325516887E-2</v>
      </c>
      <c r="L125" s="33">
        <v>0.67836778771983952</v>
      </c>
      <c r="M125" s="33">
        <v>9.1946929959888915E-2</v>
      </c>
      <c r="N125" s="33">
        <v>1.0000000000000002E-2</v>
      </c>
      <c r="O125" s="33">
        <v>0.40203131612357179</v>
      </c>
      <c r="P125" s="33">
        <v>0.11383834109183248</v>
      </c>
      <c r="Q125" s="33">
        <v>5.4591620820990262E-2</v>
      </c>
      <c r="R125" s="33">
        <v>5.7553956834532384E-2</v>
      </c>
      <c r="S125" s="33">
        <v>0.3254337706305544</v>
      </c>
      <c r="T125" s="33">
        <v>4.6550994498518745E-2</v>
      </c>
      <c r="U125" s="33">
        <v>0.22597507036590264</v>
      </c>
      <c r="V125" s="33">
        <v>4.9055086449537683E-2</v>
      </c>
      <c r="W125" s="33">
        <v>0.29875351829513463</v>
      </c>
      <c r="X125" s="33">
        <v>1.1258544431041415E-2</v>
      </c>
      <c r="Y125" s="33">
        <v>0.41495778045838355</v>
      </c>
      <c r="Z125" s="33">
        <v>0.50987066031313821</v>
      </c>
      <c r="AA125" s="33">
        <v>2.4506466984343053E-2</v>
      </c>
      <c r="AB125" s="33">
        <v>0.12321307011572498</v>
      </c>
      <c r="AC125" s="33">
        <v>0.23893805309734514</v>
      </c>
      <c r="AD125" s="33">
        <v>0.10347174948944858</v>
      </c>
    </row>
    <row r="126" spans="1:30" x14ac:dyDescent="0.35">
      <c r="A126" s="41">
        <v>2032</v>
      </c>
      <c r="B126" s="33">
        <v>1.7054984249493865E-2</v>
      </c>
      <c r="C126" s="33">
        <v>9.7543505748386578E-3</v>
      </c>
      <c r="D126" s="33">
        <v>0.95730713852405691</v>
      </c>
      <c r="E126" s="33">
        <v>6.8211751120076589E-3</v>
      </c>
      <c r="F126" s="33">
        <v>9.0623515396028396E-3</v>
      </c>
      <c r="G126" s="173">
        <v>0.18937595979338265</v>
      </c>
      <c r="H126" s="173">
        <v>0.76319279631439352</v>
      </c>
      <c r="I126" s="33">
        <v>4.7431243892223925E-2</v>
      </c>
      <c r="J126" s="33">
        <v>0.11971613699475457</v>
      </c>
      <c r="K126" s="33">
        <v>9.99691453255169E-2</v>
      </c>
      <c r="L126" s="33">
        <v>0.67836778771983952</v>
      </c>
      <c r="M126" s="33">
        <v>9.1946929959888929E-2</v>
      </c>
      <c r="N126" s="33">
        <v>1.0000000000000002E-2</v>
      </c>
      <c r="O126" s="33">
        <v>0.40203131612357179</v>
      </c>
      <c r="P126" s="33">
        <v>0.11383834109183248</v>
      </c>
      <c r="Q126" s="33">
        <v>5.4591620820990262E-2</v>
      </c>
      <c r="R126" s="33">
        <v>5.7553956834532384E-2</v>
      </c>
      <c r="S126" s="33">
        <v>0.3254337706305544</v>
      </c>
      <c r="T126" s="33">
        <v>4.6550994498518745E-2</v>
      </c>
      <c r="U126" s="33">
        <v>0.22597507036590264</v>
      </c>
      <c r="V126" s="33">
        <v>4.9055086449537683E-2</v>
      </c>
      <c r="W126" s="33">
        <v>0.29875351829513463</v>
      </c>
      <c r="X126" s="33">
        <v>1.1258544431041415E-2</v>
      </c>
      <c r="Y126" s="33">
        <v>0.41495778045838355</v>
      </c>
      <c r="Z126" s="33">
        <v>0.50987066031313821</v>
      </c>
      <c r="AA126" s="33">
        <v>2.4506466984343053E-2</v>
      </c>
      <c r="AB126" s="33">
        <v>0.12321307011572498</v>
      </c>
      <c r="AC126" s="33">
        <v>0.23893805309734514</v>
      </c>
      <c r="AD126" s="33">
        <v>0.10347174948944858</v>
      </c>
    </row>
    <row r="127" spans="1:30" x14ac:dyDescent="0.35">
      <c r="A127" s="41">
        <v>2033</v>
      </c>
      <c r="B127" s="33">
        <v>1.7054984249493865E-2</v>
      </c>
      <c r="C127" s="33">
        <v>9.7543505748386578E-3</v>
      </c>
      <c r="D127" s="33">
        <v>0.95730713852405691</v>
      </c>
      <c r="E127" s="33">
        <v>6.8211751120076589E-3</v>
      </c>
      <c r="F127" s="33">
        <v>9.0623515396028396E-3</v>
      </c>
      <c r="G127" s="173">
        <v>0.18937595979338265</v>
      </c>
      <c r="H127" s="173">
        <v>0.76319279631439352</v>
      </c>
      <c r="I127" s="33">
        <v>4.7431243892223925E-2</v>
      </c>
      <c r="J127" s="33">
        <v>0.11971613699475457</v>
      </c>
      <c r="K127" s="33">
        <v>9.9969145325516887E-2</v>
      </c>
      <c r="L127" s="33">
        <v>0.67836778771983952</v>
      </c>
      <c r="M127" s="33">
        <v>9.1946929959888929E-2</v>
      </c>
      <c r="N127" s="33">
        <v>1.0000000000000002E-2</v>
      </c>
      <c r="O127" s="33">
        <v>0.40203131612357179</v>
      </c>
      <c r="P127" s="33">
        <v>0.11383834109183248</v>
      </c>
      <c r="Q127" s="33">
        <v>5.4591620820990262E-2</v>
      </c>
      <c r="R127" s="33">
        <v>5.7553956834532384E-2</v>
      </c>
      <c r="S127" s="33">
        <v>0.3254337706305544</v>
      </c>
      <c r="T127" s="33">
        <v>4.6550994498518745E-2</v>
      </c>
      <c r="U127" s="33">
        <v>0.22597507036590264</v>
      </c>
      <c r="V127" s="33">
        <v>4.9055086449537683E-2</v>
      </c>
      <c r="W127" s="33">
        <v>0.29875351829513463</v>
      </c>
      <c r="X127" s="33">
        <v>1.1258544431041415E-2</v>
      </c>
      <c r="Y127" s="33">
        <v>0.41495778045838355</v>
      </c>
      <c r="Z127" s="33">
        <v>0.50987066031313821</v>
      </c>
      <c r="AA127" s="33">
        <v>2.4506466984343053E-2</v>
      </c>
      <c r="AB127" s="33">
        <v>0.12321307011572498</v>
      </c>
      <c r="AC127" s="33">
        <v>0.23893805309734514</v>
      </c>
      <c r="AD127" s="33">
        <v>0.10347174948944858</v>
      </c>
    </row>
    <row r="128" spans="1:30" x14ac:dyDescent="0.35">
      <c r="A128" s="41">
        <v>2034</v>
      </c>
      <c r="B128" s="33">
        <v>1.7054984249493865E-2</v>
      </c>
      <c r="C128" s="33">
        <v>9.7543505748386578E-3</v>
      </c>
      <c r="D128" s="33">
        <v>0.95730713852405691</v>
      </c>
      <c r="E128" s="33">
        <v>6.8211751120076589E-3</v>
      </c>
      <c r="F128" s="33">
        <v>9.0623515396028396E-3</v>
      </c>
      <c r="G128" s="173">
        <v>0.18937595979338265</v>
      </c>
      <c r="H128" s="173">
        <v>0.76319279631439352</v>
      </c>
      <c r="I128" s="33">
        <v>4.7431243892223925E-2</v>
      </c>
      <c r="J128" s="33">
        <v>0.11971613699475456</v>
      </c>
      <c r="K128" s="33">
        <v>9.9969145325516887E-2</v>
      </c>
      <c r="L128" s="33">
        <v>0.67836778771983952</v>
      </c>
      <c r="M128" s="33">
        <v>9.1946929959888929E-2</v>
      </c>
      <c r="N128" s="33">
        <v>1.0000000000000002E-2</v>
      </c>
      <c r="O128" s="33">
        <v>0.40203131612357179</v>
      </c>
      <c r="P128" s="33">
        <v>0.11383834109183248</v>
      </c>
      <c r="Q128" s="33">
        <v>5.4591620820990262E-2</v>
      </c>
      <c r="R128" s="33">
        <v>5.7553956834532384E-2</v>
      </c>
      <c r="S128" s="33">
        <v>0.3254337706305544</v>
      </c>
      <c r="T128" s="33">
        <v>4.6550994498518745E-2</v>
      </c>
      <c r="U128" s="33">
        <v>0.22597507036590264</v>
      </c>
      <c r="V128" s="33">
        <v>4.9055086449537683E-2</v>
      </c>
      <c r="W128" s="33">
        <v>0.29875351829513463</v>
      </c>
      <c r="X128" s="33">
        <v>1.1258544431041415E-2</v>
      </c>
      <c r="Y128" s="33">
        <v>0.41495778045838355</v>
      </c>
      <c r="Z128" s="33">
        <v>0.50987066031313821</v>
      </c>
      <c r="AA128" s="33">
        <v>2.4506466984343053E-2</v>
      </c>
      <c r="AB128" s="33">
        <v>0.12321307011572498</v>
      </c>
      <c r="AC128" s="33">
        <v>0.23893805309734514</v>
      </c>
      <c r="AD128" s="33">
        <v>0.10347174948944858</v>
      </c>
    </row>
    <row r="129" spans="1:30" x14ac:dyDescent="0.35">
      <c r="A129" s="41">
        <v>2035</v>
      </c>
      <c r="B129" s="33">
        <v>1.7054984249493865E-2</v>
      </c>
      <c r="C129" s="33">
        <v>9.7543505748386578E-3</v>
      </c>
      <c r="D129" s="33">
        <v>0.95730713852405691</v>
      </c>
      <c r="E129" s="33">
        <v>6.8211751120076589E-3</v>
      </c>
      <c r="F129" s="33">
        <v>9.0623515396028396E-3</v>
      </c>
      <c r="G129" s="173">
        <v>0.18937595979338265</v>
      </c>
      <c r="H129" s="173">
        <v>0.76319279631439352</v>
      </c>
      <c r="I129" s="33">
        <v>4.7431243892223925E-2</v>
      </c>
      <c r="J129" s="33">
        <v>0.11971613699475456</v>
      </c>
      <c r="K129" s="33">
        <v>9.9969145325516887E-2</v>
      </c>
      <c r="L129" s="33">
        <v>0.67784879146640553</v>
      </c>
      <c r="M129" s="33">
        <v>9.1876584473225512E-2</v>
      </c>
      <c r="N129" s="33">
        <v>9.9923493381786563E-3</v>
      </c>
      <c r="O129" s="33">
        <v>0.40203131612357179</v>
      </c>
      <c r="P129" s="33">
        <v>0.11383834109183248</v>
      </c>
      <c r="Q129" s="33">
        <v>5.4591620820990262E-2</v>
      </c>
      <c r="R129" s="33">
        <v>5.7553956834532384E-2</v>
      </c>
      <c r="S129" s="33">
        <v>0.3254337706305544</v>
      </c>
      <c r="T129" s="33">
        <v>4.6550994498518745E-2</v>
      </c>
      <c r="U129" s="33">
        <v>0.22597507036590264</v>
      </c>
      <c r="V129" s="33">
        <v>4.9055086449537683E-2</v>
      </c>
      <c r="W129" s="33">
        <v>0.29875351829513463</v>
      </c>
      <c r="X129" s="33">
        <v>1.1258544431041415E-2</v>
      </c>
      <c r="Y129" s="33">
        <v>0.41495778045838355</v>
      </c>
      <c r="Z129" s="33">
        <v>0.50987066031313821</v>
      </c>
      <c r="AA129" s="33">
        <v>2.4506466984343053E-2</v>
      </c>
      <c r="AB129" s="33">
        <v>0.12321307011572498</v>
      </c>
      <c r="AC129" s="33">
        <v>0.23893805309734514</v>
      </c>
      <c r="AD129" s="33">
        <v>0.10347174948944858</v>
      </c>
    </row>
    <row r="130" spans="1:30" x14ac:dyDescent="0.35">
      <c r="A130" s="41">
        <v>2036</v>
      </c>
      <c r="B130" s="33">
        <v>1.7054984249493865E-2</v>
      </c>
      <c r="C130" s="33">
        <v>9.7543505748386578E-3</v>
      </c>
      <c r="D130" s="33">
        <v>0.95730713852405691</v>
      </c>
      <c r="E130" s="33">
        <v>6.8211751120076589E-3</v>
      </c>
      <c r="F130" s="33">
        <v>9.0623515396028396E-3</v>
      </c>
      <c r="G130" s="173">
        <v>0.18937595979338265</v>
      </c>
      <c r="H130" s="173">
        <v>0.76319279631439352</v>
      </c>
      <c r="I130" s="33">
        <v>4.7431243892223925E-2</v>
      </c>
      <c r="J130" s="33">
        <v>0.11971613699475457</v>
      </c>
      <c r="K130" s="33">
        <v>9.9969145325516873E-2</v>
      </c>
      <c r="L130" s="33">
        <v>0.6345597188213935</v>
      </c>
      <c r="M130" s="33">
        <v>8.6009122305102478E-2</v>
      </c>
      <c r="N130" s="33">
        <v>5.974587655323247E-2</v>
      </c>
      <c r="O130" s="33">
        <v>0.40203131612357179</v>
      </c>
      <c r="P130" s="33">
        <v>0.11383834109183248</v>
      </c>
      <c r="Q130" s="33">
        <v>5.4591620820990262E-2</v>
      </c>
      <c r="R130" s="33">
        <v>5.7553956834532384E-2</v>
      </c>
      <c r="S130" s="33">
        <v>0.3254337706305544</v>
      </c>
      <c r="T130" s="33">
        <v>4.6550994498518745E-2</v>
      </c>
      <c r="U130" s="33">
        <v>0.22597507036590264</v>
      </c>
      <c r="V130" s="33">
        <v>4.9055086449537683E-2</v>
      </c>
      <c r="W130" s="33">
        <v>0.29875351829513463</v>
      </c>
      <c r="X130" s="33">
        <v>1.1258544431041415E-2</v>
      </c>
      <c r="Y130" s="33">
        <v>0.41495778045838355</v>
      </c>
      <c r="Z130" s="33">
        <v>0.50987066031313821</v>
      </c>
      <c r="AA130" s="33">
        <v>2.4506466984343053E-2</v>
      </c>
      <c r="AB130" s="33">
        <v>0.12321307011572498</v>
      </c>
      <c r="AC130" s="33">
        <v>0.23893805309734514</v>
      </c>
      <c r="AD130" s="33">
        <v>0.10347174948944858</v>
      </c>
    </row>
    <row r="131" spans="1:30" x14ac:dyDescent="0.35">
      <c r="A131" s="41">
        <v>2037</v>
      </c>
      <c r="B131" s="33">
        <v>1.7054984249493865E-2</v>
      </c>
      <c r="C131" s="33">
        <v>9.7543505748386578E-3</v>
      </c>
      <c r="D131" s="33">
        <v>0.95730713852405691</v>
      </c>
      <c r="E131" s="33">
        <v>6.8211751120076589E-3</v>
      </c>
      <c r="F131" s="33">
        <v>9.0623515396028396E-3</v>
      </c>
      <c r="G131" s="173">
        <v>0.18937595979338265</v>
      </c>
      <c r="H131" s="173">
        <v>0.76319279631439352</v>
      </c>
      <c r="I131" s="33">
        <v>4.7431243892223925E-2</v>
      </c>
      <c r="J131" s="33">
        <v>0.11971613699475459</v>
      </c>
      <c r="K131" s="33">
        <v>9.9969145325516887E-2</v>
      </c>
      <c r="L131" s="33">
        <v>0.5892525570819378</v>
      </c>
      <c r="M131" s="33">
        <v>7.9868125485159799E-2</v>
      </c>
      <c r="N131" s="33">
        <v>0.11119403511263087</v>
      </c>
      <c r="O131" s="33">
        <v>0.40203131612357179</v>
      </c>
      <c r="P131" s="33">
        <v>0.11383834109183248</v>
      </c>
      <c r="Q131" s="33">
        <v>5.4591620820990262E-2</v>
      </c>
      <c r="R131" s="33">
        <v>5.7553956834532384E-2</v>
      </c>
      <c r="S131" s="33">
        <v>0.3254337706305544</v>
      </c>
      <c r="T131" s="33">
        <v>4.6550994498518745E-2</v>
      </c>
      <c r="U131" s="33">
        <v>0.22597507036590264</v>
      </c>
      <c r="V131" s="33">
        <v>4.9055086449537683E-2</v>
      </c>
      <c r="W131" s="33">
        <v>0.29875351829513463</v>
      </c>
      <c r="X131" s="33">
        <v>1.1258544431041415E-2</v>
      </c>
      <c r="Y131" s="33">
        <v>0.41495778045838355</v>
      </c>
      <c r="Z131" s="33">
        <v>0.50987066031313821</v>
      </c>
      <c r="AA131" s="33">
        <v>2.4506466984343053E-2</v>
      </c>
      <c r="AB131" s="33">
        <v>0.12321307011572498</v>
      </c>
      <c r="AC131" s="33">
        <v>0.23893805309734514</v>
      </c>
      <c r="AD131" s="33">
        <v>0.10347174948944858</v>
      </c>
    </row>
    <row r="132" spans="1:30" x14ac:dyDescent="0.35">
      <c r="A132" s="41">
        <v>2038</v>
      </c>
      <c r="B132" s="33">
        <v>1.7054984249493865E-2</v>
      </c>
      <c r="C132" s="33">
        <v>9.7543505748386578E-3</v>
      </c>
      <c r="D132" s="33">
        <v>0.95730713852405691</v>
      </c>
      <c r="E132" s="33">
        <v>6.8211751120076589E-3</v>
      </c>
      <c r="F132" s="33">
        <v>9.0623515396028396E-3</v>
      </c>
      <c r="G132" s="173">
        <v>0.18937595979338265</v>
      </c>
      <c r="H132" s="173">
        <v>0.76319279631439352</v>
      </c>
      <c r="I132" s="33">
        <v>4.7431243892223925E-2</v>
      </c>
      <c r="J132" s="33">
        <v>0.11971613699475457</v>
      </c>
      <c r="K132" s="33">
        <v>9.9969145325516887E-2</v>
      </c>
      <c r="L132" s="33">
        <v>0.54236801558346037</v>
      </c>
      <c r="M132" s="33">
        <v>7.3513328380403448E-2</v>
      </c>
      <c r="N132" s="33">
        <v>0.16443337371586461</v>
      </c>
      <c r="O132" s="33">
        <v>0.40203131612357179</v>
      </c>
      <c r="P132" s="33">
        <v>0.11383834109183248</v>
      </c>
      <c r="Q132" s="33">
        <v>5.4591620820990262E-2</v>
      </c>
      <c r="R132" s="33">
        <v>5.7553956834532384E-2</v>
      </c>
      <c r="S132" s="33">
        <v>0.3254337706305544</v>
      </c>
      <c r="T132" s="33">
        <v>4.6550994498518745E-2</v>
      </c>
      <c r="U132" s="33">
        <v>0.22597507036590264</v>
      </c>
      <c r="V132" s="33">
        <v>4.9055086449537683E-2</v>
      </c>
      <c r="W132" s="33">
        <v>0.29875351829513463</v>
      </c>
      <c r="X132" s="33">
        <v>1.1258544431041415E-2</v>
      </c>
      <c r="Y132" s="33">
        <v>0.41495778045838355</v>
      </c>
      <c r="Z132" s="33">
        <v>0.50987066031313821</v>
      </c>
      <c r="AA132" s="33">
        <v>2.4506466984343053E-2</v>
      </c>
      <c r="AB132" s="33">
        <v>0.12321307011572498</v>
      </c>
      <c r="AC132" s="33">
        <v>0.23893805309734514</v>
      </c>
      <c r="AD132" s="33">
        <v>0.10347174948944858</v>
      </c>
    </row>
    <row r="133" spans="1:30" x14ac:dyDescent="0.35">
      <c r="A133" s="41">
        <v>2039</v>
      </c>
      <c r="B133" s="33">
        <v>1.7054984249493865E-2</v>
      </c>
      <c r="C133" s="33">
        <v>9.7543505748386578E-3</v>
      </c>
      <c r="D133" s="33">
        <v>0.95730713852405691</v>
      </c>
      <c r="E133" s="33">
        <v>6.8211751120076589E-3</v>
      </c>
      <c r="F133" s="33">
        <v>9.0623515396028396E-3</v>
      </c>
      <c r="G133" s="173">
        <v>0.18937595979338265</v>
      </c>
      <c r="H133" s="173">
        <v>0.76319279631439352</v>
      </c>
      <c r="I133" s="33">
        <v>4.7431243892223925E-2</v>
      </c>
      <c r="J133" s="33">
        <v>0.11971613699475457</v>
      </c>
      <c r="K133" s="33">
        <v>9.9969145325516887E-2</v>
      </c>
      <c r="L133" s="33">
        <v>0.49382225967934529</v>
      </c>
      <c r="M133" s="33">
        <v>6.6933367924190024E-2</v>
      </c>
      <c r="N133" s="33">
        <v>0.21955909007619312</v>
      </c>
      <c r="O133" s="33">
        <v>0.40203131612357179</v>
      </c>
      <c r="P133" s="33">
        <v>0.11383834109183248</v>
      </c>
      <c r="Q133" s="33">
        <v>5.4591620820990262E-2</v>
      </c>
      <c r="R133" s="33">
        <v>5.7553956834532384E-2</v>
      </c>
      <c r="S133" s="33">
        <v>0.3254337706305544</v>
      </c>
      <c r="T133" s="33">
        <v>4.6550994498518745E-2</v>
      </c>
      <c r="U133" s="33">
        <v>0.22597507036590264</v>
      </c>
      <c r="V133" s="33">
        <v>4.9055086449537683E-2</v>
      </c>
      <c r="W133" s="33">
        <v>0.29875351829513463</v>
      </c>
      <c r="X133" s="33">
        <v>1.1258544431041415E-2</v>
      </c>
      <c r="Y133" s="33">
        <v>0.41495778045838355</v>
      </c>
      <c r="Z133" s="33">
        <v>0.50987066031313821</v>
      </c>
      <c r="AA133" s="33">
        <v>2.4506466984343053E-2</v>
      </c>
      <c r="AB133" s="33">
        <v>0.12321307011572498</v>
      </c>
      <c r="AC133" s="33">
        <v>0.23893805309734514</v>
      </c>
      <c r="AD133" s="33">
        <v>0.10347174948944858</v>
      </c>
    </row>
    <row r="134" spans="1:30" x14ac:dyDescent="0.35">
      <c r="A134" s="41">
        <v>2040</v>
      </c>
      <c r="B134" s="33">
        <v>1.7054984249493865E-2</v>
      </c>
      <c r="C134" s="33">
        <v>9.7543505748386578E-3</v>
      </c>
      <c r="D134" s="33">
        <v>0.95730713852405691</v>
      </c>
      <c r="E134" s="33">
        <v>6.8211751120076589E-3</v>
      </c>
      <c r="F134" s="33">
        <v>9.0623515396028396E-3</v>
      </c>
      <c r="G134" s="173">
        <v>0.18937595979338265</v>
      </c>
      <c r="H134" s="173">
        <v>0.76319279631439352</v>
      </c>
      <c r="I134" s="33">
        <v>4.7431243892223925E-2</v>
      </c>
      <c r="J134" s="33">
        <v>0.11971613699475456</v>
      </c>
      <c r="K134" s="33">
        <v>9.9969145325516887E-2</v>
      </c>
      <c r="L134" s="33">
        <v>0.44352540671319102</v>
      </c>
      <c r="M134" s="33">
        <v>6.0116061294070718E-2</v>
      </c>
      <c r="N134" s="33">
        <v>0.2766732496724667</v>
      </c>
      <c r="O134" s="33">
        <v>0.40203131612357179</v>
      </c>
      <c r="P134" s="33">
        <v>0.11383834109183248</v>
      </c>
      <c r="Q134" s="33">
        <v>5.4591620820990262E-2</v>
      </c>
      <c r="R134" s="33">
        <v>5.7553956834532384E-2</v>
      </c>
      <c r="S134" s="33">
        <v>0.3254337706305544</v>
      </c>
      <c r="T134" s="33">
        <v>4.6550994498518745E-2</v>
      </c>
      <c r="U134" s="33">
        <v>0.22597507036590264</v>
      </c>
      <c r="V134" s="33">
        <v>4.9055086449537683E-2</v>
      </c>
      <c r="W134" s="33">
        <v>0.29875351829513463</v>
      </c>
      <c r="X134" s="33">
        <v>1.1258544431041415E-2</v>
      </c>
      <c r="Y134" s="33">
        <v>0.41495778045838355</v>
      </c>
      <c r="Z134" s="33">
        <v>0.50987066031313821</v>
      </c>
      <c r="AA134" s="33">
        <v>2.4506466984343053E-2</v>
      </c>
      <c r="AB134" s="33">
        <v>0.12321307011572498</v>
      </c>
      <c r="AC134" s="33">
        <v>0.23893805309734514</v>
      </c>
      <c r="AD134" s="33">
        <v>0.10347174948944858</v>
      </c>
    </row>
    <row r="135" spans="1:30" x14ac:dyDescent="0.35">
      <c r="A135" s="41">
        <v>2041</v>
      </c>
      <c r="B135" s="33">
        <v>1.7054984249493865E-2</v>
      </c>
      <c r="C135" s="33">
        <v>9.7543505748386578E-3</v>
      </c>
      <c r="D135" s="33">
        <v>0.95730713852405691</v>
      </c>
      <c r="E135" s="33">
        <v>6.8211751120076589E-3</v>
      </c>
      <c r="F135" s="33">
        <v>9.0623515396028396E-3</v>
      </c>
      <c r="G135" s="173">
        <v>0.18937595979338265</v>
      </c>
      <c r="H135" s="173">
        <v>0.76319279631439352</v>
      </c>
      <c r="I135" s="33">
        <v>4.7431243892223925E-2</v>
      </c>
      <c r="J135" s="33">
        <v>0.11971613699475459</v>
      </c>
      <c r="K135" s="33">
        <v>9.9969145325516887E-2</v>
      </c>
      <c r="L135" s="33">
        <v>0.39070259155297116</v>
      </c>
      <c r="M135" s="33">
        <v>5.2956382173477284E-2</v>
      </c>
      <c r="N135" s="33">
        <v>0.33665574395328002</v>
      </c>
      <c r="O135" s="33">
        <v>0.40203131612357179</v>
      </c>
      <c r="P135" s="33">
        <v>0.11383834109183248</v>
      </c>
      <c r="Q135" s="33">
        <v>5.4591620820990262E-2</v>
      </c>
      <c r="R135" s="33">
        <v>5.7553956834532384E-2</v>
      </c>
      <c r="S135" s="33">
        <v>0.3254337706305544</v>
      </c>
      <c r="T135" s="33">
        <v>4.6550994498518745E-2</v>
      </c>
      <c r="U135" s="33">
        <v>0.22597507036590264</v>
      </c>
      <c r="V135" s="33">
        <v>4.9055086449537683E-2</v>
      </c>
      <c r="W135" s="33">
        <v>0.29875351829513463</v>
      </c>
      <c r="X135" s="33">
        <v>1.1258544431041415E-2</v>
      </c>
      <c r="Y135" s="33">
        <v>0.41495778045838355</v>
      </c>
      <c r="Z135" s="33">
        <v>0.50987066031313821</v>
      </c>
      <c r="AA135" s="33">
        <v>2.4506466984343053E-2</v>
      </c>
      <c r="AB135" s="33">
        <v>0.12321307011572498</v>
      </c>
      <c r="AC135" s="33">
        <v>0.23893805309734514</v>
      </c>
      <c r="AD135" s="33">
        <v>0.10347174948944858</v>
      </c>
    </row>
    <row r="136" spans="1:30" x14ac:dyDescent="0.35">
      <c r="A136" s="41">
        <v>2042</v>
      </c>
      <c r="B136" s="33">
        <v>1.7054984249493865E-2</v>
      </c>
      <c r="C136" s="33">
        <v>9.7543505748386578E-3</v>
      </c>
      <c r="D136" s="33">
        <v>0.95730713852405691</v>
      </c>
      <c r="E136" s="33">
        <v>6.8211751120076589E-3</v>
      </c>
      <c r="F136" s="33">
        <v>9.0623515396028396E-3</v>
      </c>
      <c r="G136" s="173">
        <v>0.18937595979338265</v>
      </c>
      <c r="H136" s="173">
        <v>0.76319279631439352</v>
      </c>
      <c r="I136" s="33">
        <v>4.7431243892223925E-2</v>
      </c>
      <c r="J136" s="33">
        <v>0.11971613699475457</v>
      </c>
      <c r="K136" s="33">
        <v>9.9969145325516887E-2</v>
      </c>
      <c r="L136" s="33">
        <v>0.33623247281749413</v>
      </c>
      <c r="M136" s="33">
        <v>4.5573425195062869E-2</v>
      </c>
      <c r="N136" s="33">
        <v>0.39850881966717144</v>
      </c>
      <c r="O136" s="33">
        <v>0.40203131612357179</v>
      </c>
      <c r="P136" s="33">
        <v>0.11383834109183248</v>
      </c>
      <c r="Q136" s="33">
        <v>5.4591620820990262E-2</v>
      </c>
      <c r="R136" s="33">
        <v>5.7553956834532384E-2</v>
      </c>
      <c r="S136" s="33">
        <v>0.3254337706305544</v>
      </c>
      <c r="T136" s="33">
        <v>4.6550994498518745E-2</v>
      </c>
      <c r="U136" s="33">
        <v>0.22597507036590264</v>
      </c>
      <c r="V136" s="33">
        <v>4.9055086449537683E-2</v>
      </c>
      <c r="W136" s="33">
        <v>0.29875351829513463</v>
      </c>
      <c r="X136" s="33">
        <v>1.1258544431041415E-2</v>
      </c>
      <c r="Y136" s="33">
        <v>0.41495778045838355</v>
      </c>
      <c r="Z136" s="33">
        <v>0.50987066031313821</v>
      </c>
      <c r="AA136" s="33">
        <v>2.4506466984343053E-2</v>
      </c>
      <c r="AB136" s="33">
        <v>0.12321307011572498</v>
      </c>
      <c r="AC136" s="33">
        <v>0.23893805309734514</v>
      </c>
      <c r="AD136" s="33">
        <v>0.10347174948944858</v>
      </c>
    </row>
    <row r="137" spans="1:30" x14ac:dyDescent="0.35">
      <c r="A137" s="41">
        <v>2043</v>
      </c>
      <c r="B137" s="33">
        <v>1.7054984249493865E-2</v>
      </c>
      <c r="C137" s="33">
        <v>9.7543505748386578E-3</v>
      </c>
      <c r="D137" s="33">
        <v>0.95730713852405691</v>
      </c>
      <c r="E137" s="33">
        <v>6.8211751120076589E-3</v>
      </c>
      <c r="F137" s="33">
        <v>9.0623515396028396E-3</v>
      </c>
      <c r="G137" s="173">
        <v>0.18937595979338265</v>
      </c>
      <c r="H137" s="173">
        <v>0.76319279631439352</v>
      </c>
      <c r="I137" s="33">
        <v>4.7431243892223925E-2</v>
      </c>
      <c r="J137" s="33">
        <v>0.11971613699475457</v>
      </c>
      <c r="K137" s="33">
        <v>9.9969145325516887E-2</v>
      </c>
      <c r="L137" s="33">
        <v>0.28003677206265476</v>
      </c>
      <c r="M137" s="33">
        <v>3.7956580387735389E-2</v>
      </c>
      <c r="N137" s="33">
        <v>0.46232136522933837</v>
      </c>
      <c r="O137" s="33">
        <v>0.40203131612357179</v>
      </c>
      <c r="P137" s="33">
        <v>0.11383834109183248</v>
      </c>
      <c r="Q137" s="33">
        <v>5.4591620820990262E-2</v>
      </c>
      <c r="R137" s="33">
        <v>5.7553956834532384E-2</v>
      </c>
      <c r="S137" s="33">
        <v>0.3254337706305544</v>
      </c>
      <c r="T137" s="33">
        <v>4.6550994498518745E-2</v>
      </c>
      <c r="U137" s="33">
        <v>0.22597507036590264</v>
      </c>
      <c r="V137" s="33">
        <v>4.9055086449537683E-2</v>
      </c>
      <c r="W137" s="33">
        <v>0.29875351829513463</v>
      </c>
      <c r="X137" s="33">
        <v>1.1258544431041415E-2</v>
      </c>
      <c r="Y137" s="33">
        <v>0.41495778045838355</v>
      </c>
      <c r="Z137" s="33">
        <v>0.50987066031313821</v>
      </c>
      <c r="AA137" s="33">
        <v>2.4506466984343053E-2</v>
      </c>
      <c r="AB137" s="33">
        <v>0.12321307011572498</v>
      </c>
      <c r="AC137" s="33">
        <v>0.23893805309734514</v>
      </c>
      <c r="AD137" s="33">
        <v>0.10347174948944858</v>
      </c>
    </row>
    <row r="138" spans="1:30" x14ac:dyDescent="0.35">
      <c r="A138" s="41">
        <v>2044</v>
      </c>
      <c r="B138" s="33">
        <v>1.7054984249493865E-2</v>
      </c>
      <c r="C138" s="33">
        <v>9.7543505748386578E-3</v>
      </c>
      <c r="D138" s="33">
        <v>0.95730713852405691</v>
      </c>
      <c r="E138" s="33">
        <v>6.8211751120076589E-3</v>
      </c>
      <c r="F138" s="33">
        <v>9.0623515396028396E-3</v>
      </c>
      <c r="G138" s="173">
        <v>0.18937595979338265</v>
      </c>
      <c r="H138" s="173">
        <v>0.76319279631439352</v>
      </c>
      <c r="I138" s="33">
        <v>4.7431243892223925E-2</v>
      </c>
      <c r="J138" s="33">
        <v>0.11971613699475457</v>
      </c>
      <c r="K138" s="33">
        <v>9.9969145325516887E-2</v>
      </c>
      <c r="L138" s="33">
        <v>0.22203217138868439</v>
      </c>
      <c r="M138" s="33">
        <v>3.0094554725450379E-2</v>
      </c>
      <c r="N138" s="33">
        <v>0.5281879915655936</v>
      </c>
      <c r="O138" s="33">
        <v>0.40203131612357179</v>
      </c>
      <c r="P138" s="33">
        <v>0.11383834109183248</v>
      </c>
      <c r="Q138" s="33">
        <v>5.4591620820990262E-2</v>
      </c>
      <c r="R138" s="33">
        <v>5.7553956834532384E-2</v>
      </c>
      <c r="S138" s="33">
        <v>0.3254337706305544</v>
      </c>
      <c r="T138" s="33">
        <v>4.6550994498518745E-2</v>
      </c>
      <c r="U138" s="33">
        <v>0.22597507036590264</v>
      </c>
      <c r="V138" s="33">
        <v>4.9055086449537683E-2</v>
      </c>
      <c r="W138" s="33">
        <v>0.29875351829513463</v>
      </c>
      <c r="X138" s="33">
        <v>1.1258544431041415E-2</v>
      </c>
      <c r="Y138" s="33">
        <v>0.41495778045838355</v>
      </c>
      <c r="Z138" s="33">
        <v>0.50987066031313821</v>
      </c>
      <c r="AA138" s="33">
        <v>2.4506466984343053E-2</v>
      </c>
      <c r="AB138" s="33">
        <v>0.12321307011572498</v>
      </c>
      <c r="AC138" s="33">
        <v>0.23893805309734514</v>
      </c>
      <c r="AD138" s="33">
        <v>0.10347174948944858</v>
      </c>
    </row>
    <row r="139" spans="1:30" x14ac:dyDescent="0.35">
      <c r="A139" s="41">
        <v>2045</v>
      </c>
      <c r="B139" s="33">
        <v>1.7054984249493865E-2</v>
      </c>
      <c r="C139" s="33">
        <v>9.7543505748386578E-3</v>
      </c>
      <c r="D139" s="33">
        <v>0.95730713852405691</v>
      </c>
      <c r="E139" s="33">
        <v>6.8211751120076589E-3</v>
      </c>
      <c r="F139" s="33">
        <v>9.0623515396028396E-3</v>
      </c>
      <c r="G139" s="173">
        <v>0.18937595979338265</v>
      </c>
      <c r="H139" s="173">
        <v>0.76319279631439352</v>
      </c>
      <c r="I139" s="33">
        <v>4.7431243892223925E-2</v>
      </c>
      <c r="J139" s="33">
        <v>0.11971613699475456</v>
      </c>
      <c r="K139" s="33">
        <v>9.9969145325516887E-2</v>
      </c>
      <c r="L139" s="33">
        <v>0.16212990126504168</v>
      </c>
      <c r="M139" s="33">
        <v>2.197531626041346E-2</v>
      </c>
      <c r="N139" s="33">
        <v>0.59620950015427343</v>
      </c>
      <c r="O139" s="33">
        <v>0.40203131612357179</v>
      </c>
      <c r="P139" s="33">
        <v>0.11383834109183248</v>
      </c>
      <c r="Q139" s="33">
        <v>5.4591620820990262E-2</v>
      </c>
      <c r="R139" s="33">
        <v>5.7553956834532384E-2</v>
      </c>
      <c r="S139" s="33">
        <v>0.3254337706305544</v>
      </c>
      <c r="T139" s="33">
        <v>4.6550994498518745E-2</v>
      </c>
      <c r="U139" s="33">
        <v>0.22597507036590264</v>
      </c>
      <c r="V139" s="33">
        <v>4.9055086449537683E-2</v>
      </c>
      <c r="W139" s="33">
        <v>0.29875351829513463</v>
      </c>
      <c r="X139" s="33">
        <v>1.1258544431041415E-2</v>
      </c>
      <c r="Y139" s="33">
        <v>0.41495778045838355</v>
      </c>
      <c r="Z139" s="33">
        <v>0.50987066031313821</v>
      </c>
      <c r="AA139" s="33">
        <v>2.4506466984343053E-2</v>
      </c>
      <c r="AB139" s="33">
        <v>0.12321307011572498</v>
      </c>
      <c r="AC139" s="33">
        <v>0.23893805309734514</v>
      </c>
      <c r="AD139" s="33">
        <v>0.10347174948944858</v>
      </c>
    </row>
    <row r="140" spans="1:30" x14ac:dyDescent="0.35">
      <c r="A140" s="41">
        <v>2046</v>
      </c>
      <c r="B140" s="33">
        <v>1.7054984249493865E-2</v>
      </c>
      <c r="C140" s="33">
        <v>9.7543505748386578E-3</v>
      </c>
      <c r="D140" s="33">
        <v>0.95730713852405691</v>
      </c>
      <c r="E140" s="33">
        <v>6.8211751120076589E-3</v>
      </c>
      <c r="F140" s="33">
        <v>9.0623515396028396E-3</v>
      </c>
      <c r="G140" s="173">
        <v>0.18937595979338265</v>
      </c>
      <c r="H140" s="173">
        <v>0.76319279631439352</v>
      </c>
      <c r="I140" s="33">
        <v>4.7431243892223925E-2</v>
      </c>
      <c r="J140" s="33">
        <v>0.11971613699475456</v>
      </c>
      <c r="K140" s="33">
        <v>9.9969145325516887E-2</v>
      </c>
      <c r="L140" s="33">
        <v>0.16212990126504168</v>
      </c>
      <c r="M140" s="33">
        <v>2.197531626041346E-2</v>
      </c>
      <c r="N140" s="33">
        <v>0.59620950015427343</v>
      </c>
      <c r="O140" s="33">
        <v>0.40203131612357179</v>
      </c>
      <c r="P140" s="33">
        <v>0.11383834109183248</v>
      </c>
      <c r="Q140" s="33">
        <v>5.4591620820990262E-2</v>
      </c>
      <c r="R140" s="33">
        <v>5.7553956834532384E-2</v>
      </c>
      <c r="S140" s="33">
        <v>0.3254337706305544</v>
      </c>
      <c r="T140" s="33">
        <v>4.6550994498518745E-2</v>
      </c>
      <c r="U140" s="33">
        <v>0.22597507036590264</v>
      </c>
      <c r="V140" s="33">
        <v>4.9055086449537683E-2</v>
      </c>
      <c r="W140" s="33">
        <v>0.29875351829513463</v>
      </c>
      <c r="X140" s="33">
        <v>1.1258544431041415E-2</v>
      </c>
      <c r="Y140" s="33">
        <v>0.41495778045838355</v>
      </c>
      <c r="Z140" s="33">
        <v>0.50987066031313821</v>
      </c>
      <c r="AA140" s="33">
        <v>2.4506466984343053E-2</v>
      </c>
      <c r="AB140" s="33">
        <v>0.12321307011572498</v>
      </c>
      <c r="AC140" s="33">
        <v>0.23893805309734514</v>
      </c>
      <c r="AD140" s="33">
        <v>0.10347174948944858</v>
      </c>
    </row>
    <row r="141" spans="1:30" x14ac:dyDescent="0.35">
      <c r="A141" s="41">
        <v>2047</v>
      </c>
      <c r="B141" s="33">
        <v>1.7054984249493865E-2</v>
      </c>
      <c r="C141" s="33">
        <v>9.7543505748386578E-3</v>
      </c>
      <c r="D141" s="33">
        <v>0.95730713852405691</v>
      </c>
      <c r="E141" s="33">
        <v>6.8211751120076589E-3</v>
      </c>
      <c r="F141" s="33">
        <v>9.0623515396028396E-3</v>
      </c>
      <c r="G141" s="173">
        <v>0.18937595979338265</v>
      </c>
      <c r="H141" s="173">
        <v>0.76319279631439352</v>
      </c>
      <c r="I141" s="33">
        <v>4.7431243892223925E-2</v>
      </c>
      <c r="J141" s="33">
        <v>0.11971613699475456</v>
      </c>
      <c r="K141" s="33">
        <v>9.9969145325516887E-2</v>
      </c>
      <c r="L141" s="33">
        <v>0.16212990126504168</v>
      </c>
      <c r="M141" s="33">
        <v>2.197531626041346E-2</v>
      </c>
      <c r="N141" s="33">
        <v>0.59620950015427343</v>
      </c>
      <c r="O141" s="33">
        <v>0.40203131612357179</v>
      </c>
      <c r="P141" s="33">
        <v>0.11383834109183248</v>
      </c>
      <c r="Q141" s="33">
        <v>5.4591620820990262E-2</v>
      </c>
      <c r="R141" s="33">
        <v>5.7553956834532384E-2</v>
      </c>
      <c r="S141" s="33">
        <v>0.3254337706305544</v>
      </c>
      <c r="T141" s="33">
        <v>4.6550994498518745E-2</v>
      </c>
      <c r="U141" s="33">
        <v>0.22597507036590264</v>
      </c>
      <c r="V141" s="33">
        <v>4.9055086449537683E-2</v>
      </c>
      <c r="W141" s="33">
        <v>0.29875351829513463</v>
      </c>
      <c r="X141" s="33">
        <v>1.1258544431041415E-2</v>
      </c>
      <c r="Y141" s="33">
        <v>0.41495778045838355</v>
      </c>
      <c r="Z141" s="33">
        <v>0.50987066031313821</v>
      </c>
      <c r="AA141" s="33">
        <v>2.4506466984343053E-2</v>
      </c>
      <c r="AB141" s="33">
        <v>0.12321307011572498</v>
      </c>
      <c r="AC141" s="33">
        <v>0.23893805309734514</v>
      </c>
      <c r="AD141" s="33">
        <v>0.10347174948944858</v>
      </c>
    </row>
    <row r="142" spans="1:30" x14ac:dyDescent="0.35">
      <c r="A142" s="41">
        <v>2048</v>
      </c>
      <c r="B142" s="33">
        <v>1.7054984249493865E-2</v>
      </c>
      <c r="C142" s="33">
        <v>9.7543505748386578E-3</v>
      </c>
      <c r="D142" s="33">
        <v>0.95730713852405691</v>
      </c>
      <c r="E142" s="33">
        <v>6.8211751120076589E-3</v>
      </c>
      <c r="F142" s="33">
        <v>9.0623515396028396E-3</v>
      </c>
      <c r="G142" s="173">
        <v>0.18937595979338265</v>
      </c>
      <c r="H142" s="173">
        <v>0.76319279631439352</v>
      </c>
      <c r="I142" s="33">
        <v>4.7431243892223925E-2</v>
      </c>
      <c r="J142" s="33">
        <v>0.11971613699475456</v>
      </c>
      <c r="K142" s="33">
        <v>9.9969145325516887E-2</v>
      </c>
      <c r="L142" s="33">
        <v>0.16212990126504168</v>
      </c>
      <c r="M142" s="33">
        <v>2.197531626041346E-2</v>
      </c>
      <c r="N142" s="33">
        <v>0.59620950015427343</v>
      </c>
      <c r="O142" s="33">
        <v>0.40203131612357179</v>
      </c>
      <c r="P142" s="33">
        <v>0.11383834109183248</v>
      </c>
      <c r="Q142" s="33">
        <v>5.4591620820990262E-2</v>
      </c>
      <c r="R142" s="33">
        <v>5.7553956834532384E-2</v>
      </c>
      <c r="S142" s="33">
        <v>0.3254337706305544</v>
      </c>
      <c r="T142" s="33">
        <v>4.6550994498518745E-2</v>
      </c>
      <c r="U142" s="33">
        <v>0.22597507036590264</v>
      </c>
      <c r="V142" s="33">
        <v>4.9055086449537683E-2</v>
      </c>
      <c r="W142" s="33">
        <v>0.29875351829513463</v>
      </c>
      <c r="X142" s="33">
        <v>1.1258544431041415E-2</v>
      </c>
      <c r="Y142" s="33">
        <v>0.41495778045838355</v>
      </c>
      <c r="Z142" s="33">
        <v>0.50987066031313821</v>
      </c>
      <c r="AA142" s="33">
        <v>2.4506466984343053E-2</v>
      </c>
      <c r="AB142" s="33">
        <v>0.12321307011572498</v>
      </c>
      <c r="AC142" s="33">
        <v>0.23893805309734514</v>
      </c>
      <c r="AD142" s="33">
        <v>0.10347174948944858</v>
      </c>
    </row>
    <row r="143" spans="1:30" x14ac:dyDescent="0.35">
      <c r="A143" s="41">
        <v>2049</v>
      </c>
      <c r="B143" s="33">
        <v>1.7054984249493865E-2</v>
      </c>
      <c r="C143" s="33">
        <v>9.7543505748386578E-3</v>
      </c>
      <c r="D143" s="33">
        <v>0.95730713852405691</v>
      </c>
      <c r="E143" s="33">
        <v>6.8211751120076589E-3</v>
      </c>
      <c r="F143" s="33">
        <v>9.0623515396028396E-3</v>
      </c>
      <c r="G143" s="173">
        <v>0.18937595979338265</v>
      </c>
      <c r="H143" s="173">
        <v>0.76319279631439352</v>
      </c>
      <c r="I143" s="33">
        <v>4.7431243892223925E-2</v>
      </c>
      <c r="J143" s="33">
        <v>0.11971613699475456</v>
      </c>
      <c r="K143" s="33">
        <v>9.9969145325516887E-2</v>
      </c>
      <c r="L143" s="33">
        <v>0.16212990126504168</v>
      </c>
      <c r="M143" s="33">
        <v>2.197531626041346E-2</v>
      </c>
      <c r="N143" s="33">
        <v>0.59620950015427343</v>
      </c>
      <c r="O143" s="33">
        <v>0.40203131612357179</v>
      </c>
      <c r="P143" s="33">
        <v>0.11383834109183248</v>
      </c>
      <c r="Q143" s="33">
        <v>5.4591620820990262E-2</v>
      </c>
      <c r="R143" s="33">
        <v>5.7553956834532384E-2</v>
      </c>
      <c r="S143" s="33">
        <v>0.3254337706305544</v>
      </c>
      <c r="T143" s="33">
        <v>4.6550994498518745E-2</v>
      </c>
      <c r="U143" s="33">
        <v>0.22597507036590264</v>
      </c>
      <c r="V143" s="33">
        <v>4.9055086449537683E-2</v>
      </c>
      <c r="W143" s="33">
        <v>0.29875351829513463</v>
      </c>
      <c r="X143" s="33">
        <v>1.1258544431041415E-2</v>
      </c>
      <c r="Y143" s="33">
        <v>0.41495778045838355</v>
      </c>
      <c r="Z143" s="33">
        <v>0.50987066031313821</v>
      </c>
      <c r="AA143" s="33">
        <v>2.4506466984343053E-2</v>
      </c>
      <c r="AB143" s="33">
        <v>0.12321307011572498</v>
      </c>
      <c r="AC143" s="33">
        <v>0.23893805309734514</v>
      </c>
      <c r="AD143" s="33">
        <v>0.10347174948944858</v>
      </c>
    </row>
    <row r="144" spans="1:30" x14ac:dyDescent="0.35">
      <c r="A144" s="41">
        <v>2050</v>
      </c>
      <c r="B144" s="33">
        <v>1.7054984249493865E-2</v>
      </c>
      <c r="C144" s="33">
        <v>9.7543505748386578E-3</v>
      </c>
      <c r="D144" s="33">
        <v>0.95730713852405691</v>
      </c>
      <c r="E144" s="33">
        <v>6.8211751120076589E-3</v>
      </c>
      <c r="F144" s="33">
        <v>9.0623515396028396E-3</v>
      </c>
      <c r="G144" s="173">
        <v>0.18937595979338265</v>
      </c>
      <c r="H144" s="173">
        <v>0.76319279631439352</v>
      </c>
      <c r="I144" s="33">
        <v>4.7431243892223925E-2</v>
      </c>
      <c r="J144" s="33">
        <v>0.11971613699475456</v>
      </c>
      <c r="K144" s="33">
        <v>9.9969145325516887E-2</v>
      </c>
      <c r="L144" s="33">
        <v>0.16212990126504168</v>
      </c>
      <c r="M144" s="33">
        <v>2.197531626041346E-2</v>
      </c>
      <c r="N144" s="33">
        <v>0.59620950015427343</v>
      </c>
      <c r="O144" s="33">
        <v>0.40203131612357179</v>
      </c>
      <c r="P144" s="33">
        <v>0.11383834109183248</v>
      </c>
      <c r="Q144" s="33">
        <v>5.4591620820990262E-2</v>
      </c>
      <c r="R144" s="33">
        <v>5.7553956834532384E-2</v>
      </c>
      <c r="S144" s="33">
        <v>0.3254337706305544</v>
      </c>
      <c r="T144" s="33">
        <v>4.6550994498518745E-2</v>
      </c>
      <c r="U144" s="33">
        <v>0.22597507036590264</v>
      </c>
      <c r="V144" s="33">
        <v>4.9055086449537683E-2</v>
      </c>
      <c r="W144" s="33">
        <v>0.29875351829513463</v>
      </c>
      <c r="X144" s="33">
        <v>1.1258544431041415E-2</v>
      </c>
      <c r="Y144" s="33">
        <v>0.41495778045838355</v>
      </c>
      <c r="Z144" s="33">
        <v>0.50987066031313821</v>
      </c>
      <c r="AA144" s="33">
        <v>2.4506466984343053E-2</v>
      </c>
      <c r="AB144" s="33">
        <v>0.12321307011572498</v>
      </c>
      <c r="AC144" s="33">
        <v>0.23893805309734514</v>
      </c>
      <c r="AD144" s="33">
        <v>0.10347174948944858</v>
      </c>
    </row>
  </sheetData>
  <mergeCells count="6">
    <mergeCell ref="Z111:AD111"/>
    <mergeCell ref="B111:F111"/>
    <mergeCell ref="G111:I111"/>
    <mergeCell ref="J111:N111"/>
    <mergeCell ref="O111:T111"/>
    <mergeCell ref="U111:Y111"/>
  </mergeCells>
  <phoneticPr fontId="6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7e9a88-35e1-4b39-8da9-a609eb308282" xsi:nil="true"/>
    <lcf76f155ced4ddcb4097134ff3c332f xmlns="5d44ae6a-e145-4c9d-94e7-ddf9cc58067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B4D2F0B-9706-4B4A-AF27-E8436F5F75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7E44A3-7CBA-4DA9-806F-7EFF6541D1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8A2C9-ABCE-4BC5-82E6-6877E5231736}">
  <ds:schemaRefs>
    <ds:schemaRef ds:uri="http://purl.org/dc/elements/1.1/"/>
    <ds:schemaRef ds:uri="http://schemas.microsoft.com/office/2006/documentManagement/types"/>
    <ds:schemaRef ds:uri="5d44ae6a-e145-4c9d-94e7-ddf9cc58067e"/>
    <ds:schemaRef ds:uri="e67e9a88-35e1-4b39-8da9-a609eb308282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Initial demand info</vt:lpstr>
      <vt:lpstr>Basecase</vt:lpstr>
      <vt:lpstr>PNIEC+GreenDeal+BioRef</vt:lpstr>
      <vt:lpstr>PNIEC+GreenDeal non use</vt:lpstr>
      <vt:lpstr>PNIEC + GreenDeal + BAN non use</vt:lpstr>
      <vt:lpstr>PNIEC+GreenDeal+BAN+H2 LS</vt:lpstr>
      <vt:lpstr>PNIEC+GreenDeal+BAN+H2 AS</vt:lpstr>
      <vt:lpstr>PNIEC+GreenDeal+BAN+H2  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Cruz</dc:creator>
  <cp:lastModifiedBy>GP</cp:lastModifiedBy>
  <dcterms:created xsi:type="dcterms:W3CDTF">2022-07-15T14:19:10Z</dcterms:created>
  <dcterms:modified xsi:type="dcterms:W3CDTF">2022-11-24T10:44:59Z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0x010100241E96938535DD4B921FCDFB54345D30</vt:lpwstr>
  </property>
</Properties>
</file>