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 General" sheetId="1" r:id="rId4"/>
    <sheet state="visible" name="Blance General R" sheetId="2" r:id="rId5"/>
    <sheet state="visible" name="Estructura de Capital" sheetId="3" r:id="rId6"/>
    <sheet state="visible" name="Balance General en el Tiempo" sheetId="4" r:id="rId7"/>
    <sheet state="visible" name="Balance General en el tiempo R" sheetId="5" r:id="rId8"/>
    <sheet state="visible" name="Ejemplos dinero tiempo" sheetId="6" r:id="rId9"/>
    <sheet state="visible" name="Dinero en el tiempo" sheetId="7" r:id="rId10"/>
    <sheet state="visible" name="Ejercicios Tiempo" sheetId="8" r:id="rId11"/>
    <sheet state="visible" name="Dinero en el tiempo 2" sheetId="9" r:id="rId12"/>
    <sheet state="visible" name="Income statement" sheetId="10" r:id="rId13"/>
    <sheet state="visible" name="Taxshield" sheetId="11" r:id="rId14"/>
    <sheet state="visible" name="CAPM" sheetId="12" r:id="rId15"/>
    <sheet state="visible" name="WACC" sheetId="13" r:id="rId16"/>
    <sheet state="visible" name="WACC2" sheetId="14" r:id="rId17"/>
    <sheet state="visible" name="FCFExample" sheetId="15" r:id="rId18"/>
    <sheet state="visible" name="FCF exercise" sheetId="16" r:id="rId19"/>
  </sheets>
  <definedNames>
    <definedName name="euityP">WACC!$B$3</definedName>
    <definedName name="equityP">WACC!$B$3</definedName>
    <definedName name="CE">WACC!$B$7</definedName>
    <definedName name="debtP">WACC!$B$4</definedName>
    <definedName name="costD">WACC!$B$8</definedName>
    <definedName name="costE">WACC!$B$7</definedName>
    <definedName name="CostEq">WACC!$B$7</definedName>
  </definedNames>
  <calcPr/>
</workbook>
</file>

<file path=xl/sharedStrings.xml><?xml version="1.0" encoding="utf-8"?>
<sst xmlns="http://schemas.openxmlformats.org/spreadsheetml/2006/main" count="386" uniqueCount="131">
  <si>
    <t>Current Assets</t>
  </si>
  <si>
    <t>Efectivo</t>
  </si>
  <si>
    <t>Cuentas por Cobrar</t>
  </si>
  <si>
    <t>Inventario</t>
  </si>
  <si>
    <t>Balance General</t>
  </si>
  <si>
    <t>Current Liabilities</t>
  </si>
  <si>
    <t>Cuentas por Pagar</t>
  </si>
  <si>
    <t>Préstamo a corto plazo</t>
  </si>
  <si>
    <t>Acreedores Diversos</t>
  </si>
  <si>
    <t>Otros pasivos circulantes</t>
  </si>
  <si>
    <t>Non Current Assets</t>
  </si>
  <si>
    <t>Terrenos</t>
  </si>
  <si>
    <t>Edificios</t>
  </si>
  <si>
    <t>Maquinaria</t>
  </si>
  <si>
    <t>Equipo</t>
  </si>
  <si>
    <t>Non Current Liabilities</t>
  </si>
  <si>
    <t>Prestamos a largo plazo</t>
  </si>
  <si>
    <t>Otros Pasivos no circulantes</t>
  </si>
  <si>
    <t>TOTAL</t>
  </si>
  <si>
    <t>Equity</t>
  </si>
  <si>
    <t>Capital</t>
  </si>
  <si>
    <t>Utilidades retenidas</t>
  </si>
  <si>
    <t>El Ratón Company</t>
  </si>
  <si>
    <t>La Fruta Roja Company</t>
  </si>
  <si>
    <t>December 31 2021</t>
  </si>
  <si>
    <t xml:space="preserve">Balance Sheet </t>
  </si>
  <si>
    <t>Current assets</t>
  </si>
  <si>
    <t>Current liabilities</t>
  </si>
  <si>
    <t>Cuentas por pagar</t>
  </si>
  <si>
    <t>Cuentas por cobrar</t>
  </si>
  <si>
    <t>Préstamos a corto plazo</t>
  </si>
  <si>
    <t>Non current assets</t>
  </si>
  <si>
    <t>Non current liabilities</t>
  </si>
  <si>
    <t>Equipo de transporte</t>
  </si>
  <si>
    <t>Préstamo a largo plazo</t>
  </si>
  <si>
    <t>Préstamos a largo plazo</t>
  </si>
  <si>
    <t>Owner's Equity</t>
  </si>
  <si>
    <t>Utilidad acumulada</t>
  </si>
  <si>
    <t>December 31 2022</t>
  </si>
  <si>
    <t>December 31 2023</t>
  </si>
  <si>
    <t>CL</t>
  </si>
  <si>
    <t>CA</t>
  </si>
  <si>
    <t>total  assets</t>
  </si>
  <si>
    <t>Total liabilities</t>
  </si>
  <si>
    <t>Total Equity</t>
  </si>
  <si>
    <t>Liabilities to Equity</t>
  </si>
  <si>
    <t>CA to CL</t>
  </si>
  <si>
    <t>Liabilities to Asset</t>
  </si>
  <si>
    <t>¿Cuánto tendré si invierto 5kUSD por 10 años a 15% anual?</t>
  </si>
  <si>
    <t>Horizonte de Inversión</t>
  </si>
  <si>
    <t>años</t>
  </si>
  <si>
    <t>Interés</t>
  </si>
  <si>
    <t>anual</t>
  </si>
  <si>
    <t>Calcular Valor futuro</t>
  </si>
  <si>
    <t>¿Qué valor presente tienen 5KUSD en 10 años con inflación de 3% anual?</t>
  </si>
  <si>
    <t>En</t>
  </si>
  <si>
    <t>Descuento</t>
  </si>
  <si>
    <t>Calcular Valor presente</t>
  </si>
  <si>
    <t>¿Cuánto tendré si invierto 1200kUSD por 30 años a 15% anual?</t>
  </si>
  <si>
    <t>¿Qué valor presente tienen 20KUSD en 5 años con inflación de 3% anual?</t>
  </si>
  <si>
    <t>¿Qué vale más, Una inversión de 7KUSD a 20 años con interés de 5% o 20KUSD en efectivo en 20 años?</t>
  </si>
  <si>
    <t>inflación</t>
  </si>
  <si>
    <t>Ejercicios</t>
  </si>
  <si>
    <t>año</t>
  </si>
  <si>
    <t>Utilidad</t>
  </si>
  <si>
    <t>Valor presente</t>
  </si>
  <si>
    <t>Total VP</t>
  </si>
  <si>
    <t>Inversión</t>
  </si>
  <si>
    <t xml:space="preserve">inflación </t>
  </si>
  <si>
    <t>Utilidad total</t>
  </si>
  <si>
    <t>Regreso de capital</t>
  </si>
  <si>
    <t>Dividendos</t>
  </si>
  <si>
    <t>Dividendos VP</t>
  </si>
  <si>
    <t>Capital Vp</t>
  </si>
  <si>
    <t>Utilidad Acumulada</t>
  </si>
  <si>
    <t>Crecimiento</t>
  </si>
  <si>
    <t xml:space="preserve">Inflación </t>
  </si>
  <si>
    <t>Al 2021</t>
  </si>
  <si>
    <t>Crecimiento con inflación en consideración</t>
  </si>
  <si>
    <t>Proyecto A</t>
  </si>
  <si>
    <t>Empresa</t>
  </si>
  <si>
    <t>Proyecto B</t>
  </si>
  <si>
    <t>Negocio</t>
  </si>
  <si>
    <t>Proyecto C</t>
  </si>
  <si>
    <t>Accion con dividendos</t>
  </si>
  <si>
    <t>Income</t>
  </si>
  <si>
    <t>Cost of Good solds</t>
  </si>
  <si>
    <t>Gross Profit</t>
  </si>
  <si>
    <t>Marketing expenses</t>
  </si>
  <si>
    <t>Admin Expenses</t>
  </si>
  <si>
    <t>Operative Profit</t>
  </si>
  <si>
    <t>Other incomes</t>
  </si>
  <si>
    <t>Other expenses</t>
  </si>
  <si>
    <t>Profit before Tax</t>
  </si>
  <si>
    <t>Tax</t>
  </si>
  <si>
    <t>Net profit</t>
  </si>
  <si>
    <t>Income Statement</t>
  </si>
  <si>
    <t>tax rate</t>
  </si>
  <si>
    <t>taxshield</t>
  </si>
  <si>
    <t>Amortization</t>
  </si>
  <si>
    <t>Amortization vs no Amortization</t>
  </si>
  <si>
    <t>Ejemplo</t>
  </si>
  <si>
    <t>Risk free rate</t>
  </si>
  <si>
    <t>Market Risk</t>
  </si>
  <si>
    <t>Beta</t>
  </si>
  <si>
    <t>Calculated rate</t>
  </si>
  <si>
    <t>Market Premium</t>
  </si>
  <si>
    <t>Estructura de capital</t>
  </si>
  <si>
    <t>Debt</t>
  </si>
  <si>
    <t>Cost of equity</t>
  </si>
  <si>
    <t>Cost of debt before tax</t>
  </si>
  <si>
    <t>Tax rate</t>
  </si>
  <si>
    <t>Cost of debt after tax</t>
  </si>
  <si>
    <t>WCE</t>
  </si>
  <si>
    <t>WCD</t>
  </si>
  <si>
    <t>Wacc</t>
  </si>
  <si>
    <t>CAPM</t>
  </si>
  <si>
    <t>Market Rate</t>
  </si>
  <si>
    <t>Cost of debt</t>
  </si>
  <si>
    <t>Cost of debt after Tax</t>
  </si>
  <si>
    <t>WACC</t>
  </si>
  <si>
    <t>EBIT</t>
  </si>
  <si>
    <t>TAX</t>
  </si>
  <si>
    <t>NOPAT</t>
  </si>
  <si>
    <t>Dep</t>
  </si>
  <si>
    <t>NWC</t>
  </si>
  <si>
    <t>CAPEX</t>
  </si>
  <si>
    <t>FreeCashFlow</t>
  </si>
  <si>
    <t>Example</t>
  </si>
  <si>
    <t>NetValue</t>
  </si>
  <si>
    <t>Project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</si>
</sst>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.00_-;\-&quot;$&quot;* #,##0.00_-;_-&quot;$&quot;* &quot;-&quot;??_-;_-@"/>
    <numFmt numFmtId="165" formatCode="#,##0.00_ ;[Red]\-#,##0.00\ "/>
  </numFmts>
  <fonts count="6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b/>
      <sz val="11.0"/>
      <color theme="0"/>
      <name val="Franklin Gothic"/>
    </font>
    <font/>
    <font>
      <b/>
      <sz val="14.0"/>
      <color theme="0"/>
      <name val="Franklin Gothic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030A0"/>
        <bgColor rgb="FF7030A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</fills>
  <borders count="41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0" numFmtId="0" xfId="0" applyBorder="1" applyFont="1"/>
    <xf borderId="1" fillId="2" fontId="0" numFmtId="164" xfId="0" applyBorder="1" applyFont="1" applyNumberFormat="1"/>
    <xf borderId="2" fillId="3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1" numFmtId="0" xfId="0" applyBorder="1" applyFont="1"/>
    <xf borderId="9" fillId="2" fontId="1" numFmtId="0" xfId="0" applyBorder="1" applyFont="1"/>
    <xf borderId="10" fillId="2" fontId="0" numFmtId="164" xfId="0" applyBorder="1" applyFont="1" applyNumberFormat="1"/>
    <xf borderId="11" fillId="2" fontId="0" numFmtId="0" xfId="0" applyBorder="1" applyFont="1"/>
    <xf borderId="8" fillId="2" fontId="0" numFmtId="0" xfId="0" applyBorder="1" applyFont="1"/>
    <xf borderId="12" fillId="2" fontId="0" numFmtId="0" xfId="0" applyBorder="1" applyFont="1"/>
    <xf borderId="13" fillId="2" fontId="1" numFmtId="0" xfId="0" applyAlignment="1" applyBorder="1" applyFont="1">
      <alignment horizontal="right"/>
    </xf>
    <xf borderId="14" fillId="2" fontId="0" numFmtId="0" xfId="0" applyBorder="1" applyFont="1"/>
    <xf borderId="14" fillId="2" fontId="1" numFmtId="164" xfId="0" applyAlignment="1" applyBorder="1" applyFont="1" applyNumberFormat="1">
      <alignment horizontal="right"/>
    </xf>
    <xf borderId="15" fillId="2" fontId="1" numFmtId="164" xfId="0" applyAlignment="1" applyBorder="1" applyFont="1" applyNumberFormat="1">
      <alignment horizontal="right"/>
    </xf>
    <xf borderId="2" fillId="3" fontId="4" numFmtId="0" xfId="0" applyAlignment="1" applyBorder="1" applyFont="1">
      <alignment horizontal="center" vertical="center"/>
    </xf>
    <xf borderId="16" fillId="3" fontId="2" numFmtId="0" xfId="0" applyAlignment="1" applyBorder="1" applyFont="1">
      <alignment horizontal="center"/>
    </xf>
    <xf borderId="17" fillId="0" fontId="3" numFmtId="0" xfId="0" applyBorder="1" applyFont="1"/>
    <xf borderId="18" fillId="0" fontId="3" numFmtId="0" xfId="0" applyBorder="1" applyFont="1"/>
    <xf borderId="16" fillId="4" fontId="2" numFmtId="0" xfId="0" applyAlignment="1" applyBorder="1" applyFill="1" applyFont="1">
      <alignment horizontal="center"/>
    </xf>
    <xf borderId="19" fillId="3" fontId="2" numFmtId="0" xfId="0" applyAlignment="1" applyBorder="1" applyFont="1">
      <alignment horizontal="center"/>
    </xf>
    <xf borderId="20" fillId="0" fontId="3" numFmtId="0" xfId="0" applyBorder="1" applyFont="1"/>
    <xf borderId="21" fillId="0" fontId="3" numFmtId="0" xfId="0" applyBorder="1" applyFont="1"/>
    <xf borderId="19" fillId="4" fontId="2" numFmtId="0" xfId="0" applyAlignment="1" applyBorder="1" applyFont="1">
      <alignment horizontal="center"/>
    </xf>
    <xf borderId="12" fillId="2" fontId="1" numFmtId="3" xfId="0" applyBorder="1" applyFont="1" applyNumberFormat="1"/>
    <xf borderId="12" fillId="2" fontId="0" numFmtId="3" xfId="0" applyBorder="1" applyFont="1" applyNumberFormat="1"/>
    <xf borderId="12" fillId="2" fontId="0" numFmtId="164" xfId="0" applyBorder="1" applyFont="1" applyNumberFormat="1"/>
    <xf borderId="1" fillId="2" fontId="1" numFmtId="164" xfId="0" applyBorder="1" applyFont="1" applyNumberFormat="1"/>
    <xf borderId="12" fillId="2" fontId="1" numFmtId="164" xfId="0" applyBorder="1" applyFont="1" applyNumberFormat="1"/>
    <xf borderId="22" fillId="2" fontId="1" numFmtId="0" xfId="0" applyAlignment="1" applyBorder="1" applyFont="1">
      <alignment horizontal="right"/>
    </xf>
    <xf borderId="23" fillId="2" fontId="1" numFmtId="164" xfId="0" applyAlignment="1" applyBorder="1" applyFont="1" applyNumberFormat="1">
      <alignment horizontal="right"/>
    </xf>
    <xf borderId="24" fillId="2" fontId="1" numFmtId="0" xfId="0" applyAlignment="1" applyBorder="1" applyFont="1">
      <alignment horizontal="right"/>
    </xf>
    <xf borderId="25" fillId="3" fontId="2" numFmtId="0" xfId="0" applyAlignment="1" applyBorder="1" applyFont="1">
      <alignment horizontal="center" vertical="center"/>
    </xf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1" fillId="2" fontId="0" numFmtId="0" xfId="0" applyAlignment="1" applyBorder="1" applyFont="1">
      <alignment horizontal="center" vertical="center"/>
    </xf>
    <xf borderId="30" fillId="3" fontId="2" numFmtId="0" xfId="0" applyAlignment="1" applyBorder="1" applyFont="1">
      <alignment horizontal="center" vertical="center"/>
    </xf>
    <xf borderId="14" fillId="3" fontId="2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31" fillId="2" fontId="1" numFmtId="3" xfId="0" applyAlignment="1" applyBorder="1" applyFont="1" applyNumberFormat="1">
      <alignment horizontal="center" vertical="center"/>
    </xf>
    <xf borderId="31" fillId="2" fontId="0" numFmtId="0" xfId="0" applyAlignment="1" applyBorder="1" applyFont="1">
      <alignment horizontal="center" vertical="center"/>
    </xf>
    <xf borderId="8" fillId="2" fontId="0" numFmtId="0" xfId="0" applyAlignment="1" applyBorder="1" applyFont="1">
      <alignment horizontal="center" vertical="center"/>
    </xf>
    <xf borderId="31" fillId="2" fontId="0" numFmtId="164" xfId="0" applyAlignment="1" applyBorder="1" applyFont="1" applyNumberFormat="1">
      <alignment horizontal="center" vertical="center"/>
    </xf>
    <xf borderId="1" fillId="2" fontId="0" numFmtId="164" xfId="0" applyAlignment="1" applyBorder="1" applyFont="1" applyNumberFormat="1">
      <alignment horizontal="center" vertical="center"/>
    </xf>
    <xf borderId="31" fillId="2" fontId="1" numFmtId="16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31" fillId="2" fontId="0" numFmtId="3" xfId="0" applyAlignment="1" applyBorder="1" applyFont="1" applyNumberFormat="1">
      <alignment horizontal="center" vertical="center"/>
    </xf>
    <xf borderId="32" fillId="2" fontId="0" numFmtId="164" xfId="0" applyAlignment="1" applyBorder="1" applyFont="1" applyNumberFormat="1">
      <alignment horizontal="center" vertical="center"/>
    </xf>
    <xf borderId="24" fillId="2" fontId="0" numFmtId="164" xfId="0" applyAlignment="1" applyBorder="1" applyFont="1" applyNumberFormat="1">
      <alignment horizontal="center" vertical="center"/>
    </xf>
    <xf borderId="0" fillId="0" fontId="5" numFmtId="0" xfId="0" applyFont="1"/>
    <xf borderId="33" fillId="0" fontId="1" numFmtId="0" xfId="0" applyAlignment="1" applyBorder="1" applyFont="1">
      <alignment horizontal="center"/>
    </xf>
    <xf borderId="34" fillId="0" fontId="3" numFmtId="0" xfId="0" applyBorder="1" applyFont="1"/>
    <xf borderId="35" fillId="0" fontId="3" numFmtId="0" xfId="0" applyBorder="1" applyFont="1"/>
    <xf borderId="0" fillId="0" fontId="1" numFmtId="0" xfId="0" applyAlignment="1" applyFont="1">
      <alignment horizontal="center"/>
    </xf>
    <xf borderId="36" fillId="0" fontId="1" numFmtId="0" xfId="0" applyBorder="1" applyFont="1"/>
    <xf borderId="37" fillId="0" fontId="1" numFmtId="3" xfId="0" applyBorder="1" applyFont="1" applyNumberFormat="1"/>
    <xf borderId="0" fillId="0" fontId="1" numFmtId="0" xfId="0" applyFont="1"/>
    <xf borderId="37" fillId="0" fontId="0" numFmtId="3" xfId="0" applyBorder="1" applyFont="1" applyNumberFormat="1"/>
    <xf borderId="0" fillId="0" fontId="1" numFmtId="3" xfId="0" applyFont="1" applyNumberFormat="1"/>
    <xf borderId="2" fillId="0" fontId="1" numFmtId="0" xfId="0" applyBorder="1" applyFont="1"/>
    <xf borderId="4" fillId="0" fontId="0" numFmtId="3" xfId="0" applyBorder="1" applyFont="1" applyNumberFormat="1"/>
    <xf borderId="0" fillId="0" fontId="0" numFmtId="3" xfId="0" applyFont="1" applyNumberFormat="1"/>
    <xf borderId="36" fillId="0" fontId="0" numFmtId="0" xfId="0" applyBorder="1" applyFont="1"/>
    <xf borderId="37" fillId="0" fontId="0" numFmtId="164" xfId="0" applyBorder="1" applyFont="1" applyNumberFormat="1"/>
    <xf borderId="0" fillId="0" fontId="0" numFmtId="164" xfId="0" applyFont="1" applyNumberFormat="1"/>
    <xf borderId="36" fillId="0" fontId="0" numFmtId="164" xfId="0" applyBorder="1" applyFont="1" applyNumberFormat="1"/>
    <xf borderId="0" fillId="0" fontId="1" numFmtId="164" xfId="0" applyFont="1" applyNumberFormat="1"/>
    <xf borderId="37" fillId="0" fontId="1" numFmtId="164" xfId="0" applyBorder="1" applyFont="1" applyNumberFormat="1"/>
    <xf borderId="36" fillId="0" fontId="1" numFmtId="164" xfId="0" applyBorder="1" applyFont="1" applyNumberFormat="1"/>
    <xf borderId="5" fillId="0" fontId="0" numFmtId="164" xfId="0" applyBorder="1" applyFont="1" applyNumberFormat="1"/>
    <xf borderId="7" fillId="0" fontId="0" numFmtId="164" xfId="0" applyBorder="1" applyFont="1" applyNumberFormat="1"/>
    <xf borderId="5" fillId="0" fontId="1" numFmtId="0" xfId="0" applyAlignment="1" applyBorder="1" applyFont="1">
      <alignment horizontal="right"/>
    </xf>
    <xf borderId="7" fillId="0" fontId="1" numFmtId="164" xfId="0" applyAlignment="1" applyBorder="1" applyFont="1" applyNumberFormat="1">
      <alignment horizontal="right"/>
    </xf>
    <xf borderId="6" fillId="0" fontId="1" numFmtId="0" xfId="0" applyAlignment="1" applyBorder="1" applyFont="1">
      <alignment horizontal="right"/>
    </xf>
    <xf borderId="0" fillId="0" fontId="1" numFmtId="164" xfId="0" applyAlignment="1" applyFont="1" applyNumberFormat="1">
      <alignment horizontal="right"/>
    </xf>
    <xf borderId="0" fillId="0" fontId="0" numFmtId="2" xfId="0" applyFont="1" applyNumberFormat="1"/>
    <xf borderId="0" fillId="0" fontId="0" numFmtId="0" xfId="0" applyFont="1"/>
    <xf borderId="0" fillId="0" fontId="0" numFmtId="0" xfId="0" applyAlignment="1" applyFon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0" fillId="0" fontId="0" numFmtId="9" xfId="0" applyAlignment="1" applyFont="1" applyNumberFormat="1">
      <alignment horizontal="center" vertical="center"/>
    </xf>
    <xf borderId="16" fillId="3" fontId="2" numFmtId="0" xfId="0" applyAlignment="1" applyBorder="1" applyFont="1">
      <alignment horizontal="center" vertical="center"/>
    </xf>
    <xf borderId="0" fillId="0" fontId="0" numFmtId="9" xfId="0" applyFont="1" applyNumberFormat="1"/>
    <xf borderId="0" fillId="0" fontId="0" numFmtId="10" xfId="0" applyFont="1" applyNumberFormat="1"/>
    <xf borderId="0" fillId="0" fontId="0" numFmtId="165" xfId="0" applyFont="1" applyNumberFormat="1"/>
    <xf borderId="0" fillId="0" fontId="2" numFmtId="0" xfId="0" applyAlignment="1" applyFont="1">
      <alignment vertical="center"/>
    </xf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0" fillId="0" fontId="0" numFmtId="10" xfId="0" applyAlignment="1" applyFont="1" applyNumberForma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1" fillId="3" fontId="2" numFmtId="0" xfId="0" applyAlignment="1" applyBorder="1" applyFont="1">
      <alignment horizontal="center" vertical="center"/>
    </xf>
    <xf borderId="1" fillId="3" fontId="2" numFmtId="0" xfId="0" applyBorder="1" applyFont="1"/>
    <xf borderId="1" fillId="5" fontId="0" numFmtId="0" xfId="0" applyBorder="1" applyFill="1" applyFont="1"/>
    <xf borderId="1" fillId="5" fontId="0" numFmtId="164" xfId="0" applyBorder="1" applyFont="1" applyNumberFormat="1"/>
    <xf borderId="6" fillId="0" fontId="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17.57"/>
    <col customWidth="1" min="3" max="3" width="12.57"/>
    <col customWidth="1" min="4" max="4" width="23.14"/>
    <col customWidth="1" min="5" max="7" width="12.57"/>
    <col customWidth="1" min="8" max="8" width="25.86"/>
    <col customWidth="1" min="9" max="9" width="11.57"/>
    <col customWidth="1" min="10" max="10" width="12.57"/>
    <col customWidth="1" min="11" max="26" width="10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3">
        <v>5000.0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</v>
      </c>
      <c r="B3" s="3">
        <v>13000.0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3</v>
      </c>
      <c r="B4" s="3">
        <v>48000.0</v>
      </c>
      <c r="C4" s="2"/>
      <c r="D4" s="2"/>
      <c r="E4" s="4" t="s">
        <v>4</v>
      </c>
      <c r="F4" s="5"/>
      <c r="G4" s="5"/>
      <c r="H4" s="5"/>
      <c r="I4" s="5"/>
      <c r="J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3"/>
      <c r="C5" s="2"/>
      <c r="D5" s="2"/>
      <c r="E5" s="7"/>
      <c r="F5" s="8"/>
      <c r="G5" s="8"/>
      <c r="H5" s="8"/>
      <c r="I5" s="8"/>
      <c r="J5" s="9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5</v>
      </c>
      <c r="B6" s="3"/>
      <c r="C6" s="2"/>
      <c r="D6" s="2"/>
      <c r="E6" s="10"/>
      <c r="F6" s="2"/>
      <c r="G6" s="2"/>
      <c r="H6" s="11"/>
      <c r="I6" s="12"/>
      <c r="J6" s="1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6</v>
      </c>
      <c r="B7" s="3">
        <v>4000.0</v>
      </c>
      <c r="C7" s="2"/>
      <c r="D7" s="2"/>
      <c r="E7" s="14"/>
      <c r="F7" s="3"/>
      <c r="G7" s="2"/>
      <c r="H7" s="14"/>
      <c r="I7" s="3"/>
      <c r="J7" s="1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7</v>
      </c>
      <c r="B8" s="3">
        <v>5000.0</v>
      </c>
      <c r="C8" s="2"/>
      <c r="D8" s="2"/>
      <c r="E8" s="14"/>
      <c r="F8" s="3"/>
      <c r="G8" s="2"/>
      <c r="H8" s="14"/>
      <c r="I8" s="3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8</v>
      </c>
      <c r="B9" s="3">
        <v>30000.0</v>
      </c>
      <c r="C9" s="2"/>
      <c r="D9" s="2"/>
      <c r="E9" s="14"/>
      <c r="F9" s="3"/>
      <c r="G9" s="2"/>
      <c r="H9" s="14"/>
      <c r="I9" s="3"/>
      <c r="J9" s="1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9</v>
      </c>
      <c r="B10" s="3">
        <v>5000.0</v>
      </c>
      <c r="C10" s="2"/>
      <c r="D10" s="2"/>
      <c r="E10" s="14"/>
      <c r="F10" s="3"/>
      <c r="G10" s="2"/>
      <c r="H10" s="14"/>
      <c r="I10" s="3"/>
      <c r="J10" s="1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3"/>
      <c r="C11" s="2"/>
      <c r="D11" s="2"/>
      <c r="E11" s="14"/>
      <c r="F11" s="2"/>
      <c r="G11" s="2"/>
      <c r="H11" s="14"/>
      <c r="I11" s="2"/>
      <c r="J11" s="1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10</v>
      </c>
      <c r="B12" s="3"/>
      <c r="C12" s="2"/>
      <c r="D12" s="2"/>
      <c r="E12" s="10"/>
      <c r="F12" s="3"/>
      <c r="G12" s="2"/>
      <c r="H12" s="10"/>
      <c r="I12" s="3"/>
      <c r="J12" s="1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11</v>
      </c>
      <c r="B13" s="3">
        <v>30000.0</v>
      </c>
      <c r="C13" s="2"/>
      <c r="D13" s="2"/>
      <c r="E13" s="14"/>
      <c r="F13" s="3"/>
      <c r="G13" s="2"/>
      <c r="H13" s="14"/>
      <c r="I13" s="3"/>
      <c r="J13" s="1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12</v>
      </c>
      <c r="B14" s="3">
        <v>120000.0</v>
      </c>
      <c r="C14" s="2"/>
      <c r="D14" s="2"/>
      <c r="E14" s="14"/>
      <c r="F14" s="3"/>
      <c r="G14" s="2"/>
      <c r="H14" s="14"/>
      <c r="I14" s="3"/>
      <c r="J14" s="1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13</v>
      </c>
      <c r="B15" s="3">
        <v>6000.0</v>
      </c>
      <c r="C15" s="2"/>
      <c r="D15" s="2"/>
      <c r="E15" s="14"/>
      <c r="F15" s="3"/>
      <c r="G15" s="2"/>
      <c r="H15" s="14"/>
      <c r="I15" s="2"/>
      <c r="J15" s="1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14</v>
      </c>
      <c r="B16" s="3">
        <v>2000.0</v>
      </c>
      <c r="C16" s="2"/>
      <c r="D16" s="2"/>
      <c r="E16" s="14"/>
      <c r="F16" s="3"/>
      <c r="G16" s="2"/>
      <c r="H16" s="14"/>
      <c r="I16" s="2"/>
      <c r="J16" s="1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3"/>
      <c r="C17" s="2"/>
      <c r="D17" s="2"/>
      <c r="E17" s="14"/>
      <c r="F17" s="2"/>
      <c r="G17" s="2"/>
      <c r="H17" s="10"/>
      <c r="I17" s="3"/>
      <c r="J17" s="1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15</v>
      </c>
      <c r="B18" s="3"/>
      <c r="C18" s="2"/>
      <c r="D18" s="2"/>
      <c r="E18" s="14"/>
      <c r="F18" s="2"/>
      <c r="G18" s="2"/>
      <c r="H18" s="14"/>
      <c r="I18" s="3"/>
      <c r="J18" s="1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16</v>
      </c>
      <c r="B19" s="3">
        <v>20000.0</v>
      </c>
      <c r="C19" s="2"/>
      <c r="D19" s="2"/>
      <c r="E19" s="14"/>
      <c r="F19" s="2"/>
      <c r="G19" s="2"/>
      <c r="H19" s="14"/>
      <c r="I19" s="3"/>
      <c r="J19" s="1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17</v>
      </c>
      <c r="B20" s="3">
        <v>50000.0</v>
      </c>
      <c r="C20" s="2"/>
      <c r="D20" s="2"/>
      <c r="E20" s="14"/>
      <c r="F20" s="2"/>
      <c r="G20" s="2"/>
      <c r="H20" s="14"/>
      <c r="I20" s="2"/>
      <c r="J20" s="1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3"/>
      <c r="C21" s="2"/>
      <c r="D21" s="2"/>
      <c r="E21" s="16" t="s">
        <v>18</v>
      </c>
      <c r="F21" s="17"/>
      <c r="G21" s="18">
        <f>SUM(G6:G20)</f>
        <v>0</v>
      </c>
      <c r="H21" s="16" t="s">
        <v>18</v>
      </c>
      <c r="I21" s="17"/>
      <c r="J21" s="19">
        <f>SUM(J6:J20)</f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" t="s">
        <v>19</v>
      </c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20</v>
      </c>
      <c r="B23" s="3">
        <v>80000.0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21</v>
      </c>
      <c r="B24" s="3">
        <v>30000.0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E4:J5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6" width="11.43"/>
    <col customWidth="1" min="7" max="26" width="10.7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97">
        <v>2021.0</v>
      </c>
      <c r="C2" s="97">
        <v>2022.0</v>
      </c>
      <c r="D2" s="97">
        <v>2023.0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85</v>
      </c>
      <c r="B3" s="3">
        <v>35000.0</v>
      </c>
      <c r="C3" s="3">
        <v>46000.0</v>
      </c>
      <c r="D3" s="3">
        <v>61180.0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86</v>
      </c>
      <c r="B4" s="3">
        <v>17000.0</v>
      </c>
      <c r="C4" s="3">
        <v>22600.0</v>
      </c>
      <c r="D4" s="3">
        <v>30058.0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87</v>
      </c>
      <c r="B5" s="3">
        <f t="shared" ref="B5:D5" si="1">B3-B4</f>
        <v>18000</v>
      </c>
      <c r="C5" s="3">
        <f t="shared" si="1"/>
        <v>23400</v>
      </c>
      <c r="D5" s="3">
        <f t="shared" si="1"/>
        <v>31122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3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88</v>
      </c>
      <c r="B7" s="3">
        <v>8000.0</v>
      </c>
      <c r="C7" s="3">
        <v>10900.0</v>
      </c>
      <c r="D7" s="3">
        <v>14497.0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89</v>
      </c>
      <c r="B8" s="3">
        <v>3000.0</v>
      </c>
      <c r="C8" s="3">
        <v>4400.0</v>
      </c>
      <c r="D8" s="3">
        <v>5852.0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90</v>
      </c>
      <c r="B9" s="3">
        <f t="shared" ref="B9:D9" si="2">B5-B7-B8</f>
        <v>7000</v>
      </c>
      <c r="C9" s="3">
        <f t="shared" si="2"/>
        <v>8100</v>
      </c>
      <c r="D9" s="3">
        <f t="shared" si="2"/>
        <v>10773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3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91</v>
      </c>
      <c r="B11" s="3">
        <v>1500.0</v>
      </c>
      <c r="C11" s="3">
        <v>2450.0</v>
      </c>
      <c r="D11" s="3">
        <v>3258.5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92</v>
      </c>
      <c r="B12" s="3">
        <v>0.0</v>
      </c>
      <c r="C12" s="3">
        <v>500.0</v>
      </c>
      <c r="D12" s="3">
        <v>665.0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93</v>
      </c>
      <c r="B13" s="3">
        <f t="shared" ref="B13:D13" si="3">B9+B11-B12</f>
        <v>8500</v>
      </c>
      <c r="C13" s="3">
        <f t="shared" si="3"/>
        <v>10050</v>
      </c>
      <c r="D13" s="3">
        <f t="shared" si="3"/>
        <v>13366.5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3"/>
      <c r="C14" s="3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94</v>
      </c>
      <c r="B15" s="3">
        <f t="shared" ref="B15:D15" si="4">B13*0.3</f>
        <v>2550</v>
      </c>
      <c r="C15" s="3">
        <f t="shared" si="4"/>
        <v>3015</v>
      </c>
      <c r="D15" s="3">
        <f t="shared" si="4"/>
        <v>4009.95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3"/>
      <c r="C16" s="3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95</v>
      </c>
      <c r="B17" s="3">
        <f t="shared" ref="B17:D17" si="5">B13-B15</f>
        <v>5950</v>
      </c>
      <c r="C17" s="3">
        <f t="shared" si="5"/>
        <v>7035</v>
      </c>
      <c r="D17" s="3">
        <f t="shared" si="5"/>
        <v>9356.55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3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4" width="12.29"/>
    <col customWidth="1" min="5" max="26" width="10.71"/>
  </cols>
  <sheetData>
    <row r="2">
      <c r="B2" s="21" t="s">
        <v>22</v>
      </c>
      <c r="C2" s="22"/>
      <c r="D2" s="23"/>
    </row>
    <row r="3">
      <c r="B3" s="21" t="s">
        <v>96</v>
      </c>
      <c r="C3" s="22"/>
      <c r="D3" s="23"/>
    </row>
    <row r="4">
      <c r="B4" s="98"/>
      <c r="C4" s="98"/>
      <c r="D4" s="98"/>
      <c r="G4" s="56" t="s">
        <v>97</v>
      </c>
      <c r="H4" s="88">
        <v>0.3</v>
      </c>
    </row>
    <row r="5">
      <c r="B5" s="97">
        <v>2021.0</v>
      </c>
      <c r="C5" s="97">
        <v>2022.0</v>
      </c>
      <c r="D5" s="97">
        <v>2023.0</v>
      </c>
    </row>
    <row r="6">
      <c r="A6" s="56" t="s">
        <v>85</v>
      </c>
      <c r="B6" s="71">
        <v>35000.0</v>
      </c>
      <c r="C6" s="71">
        <v>46000.0</v>
      </c>
      <c r="D6" s="71">
        <v>61180.0</v>
      </c>
      <c r="G6" s="56" t="s">
        <v>98</v>
      </c>
      <c r="H6" s="83">
        <v>2021.0</v>
      </c>
      <c r="I6" s="71">
        <f>B12*0.3</f>
        <v>90</v>
      </c>
    </row>
    <row r="7">
      <c r="A7" s="56" t="s">
        <v>86</v>
      </c>
      <c r="B7" s="71">
        <v>17000.0</v>
      </c>
      <c r="C7" s="71">
        <v>22600.0</v>
      </c>
      <c r="D7" s="71">
        <v>30058.0</v>
      </c>
      <c r="H7" s="56">
        <v>2022.0</v>
      </c>
    </row>
    <row r="8">
      <c r="A8" s="56" t="s">
        <v>87</v>
      </c>
      <c r="B8" s="71">
        <f t="shared" ref="B8:D8" si="1">B6-B7</f>
        <v>18000</v>
      </c>
      <c r="C8" s="71">
        <f t="shared" si="1"/>
        <v>23400</v>
      </c>
      <c r="D8" s="71">
        <f t="shared" si="1"/>
        <v>31122</v>
      </c>
      <c r="H8" s="56">
        <v>2023.0</v>
      </c>
    </row>
    <row r="9">
      <c r="B9" s="71"/>
      <c r="C9" s="71"/>
      <c r="D9" s="71"/>
    </row>
    <row r="10">
      <c r="A10" s="56" t="s">
        <v>88</v>
      </c>
      <c r="B10" s="71">
        <v>8000.0</v>
      </c>
      <c r="C10" s="71">
        <v>10900.0</v>
      </c>
      <c r="D10" s="71">
        <v>14497.0</v>
      </c>
    </row>
    <row r="11">
      <c r="A11" s="56" t="s">
        <v>89</v>
      </c>
      <c r="B11" s="71">
        <v>2700.0</v>
      </c>
      <c r="C11" s="71">
        <v>3960.0</v>
      </c>
      <c r="D11" s="71">
        <v>5266.8</v>
      </c>
    </row>
    <row r="12">
      <c r="A12" s="99" t="s">
        <v>99</v>
      </c>
      <c r="B12" s="100">
        <v>300.0</v>
      </c>
      <c r="C12" s="100">
        <v>440.0</v>
      </c>
      <c r="D12" s="100">
        <v>585.2</v>
      </c>
    </row>
    <row r="13">
      <c r="A13" s="56" t="s">
        <v>90</v>
      </c>
      <c r="B13" s="71">
        <f t="shared" ref="B13:D13" si="2">B8-B10-B11-B12</f>
        <v>7000</v>
      </c>
      <c r="C13" s="71">
        <f t="shared" si="2"/>
        <v>8100</v>
      </c>
      <c r="D13" s="71">
        <f t="shared" si="2"/>
        <v>10773</v>
      </c>
    </row>
    <row r="14">
      <c r="B14" s="71"/>
      <c r="C14" s="71"/>
      <c r="D14" s="71"/>
    </row>
    <row r="15">
      <c r="A15" s="56" t="s">
        <v>91</v>
      </c>
      <c r="B15" s="71">
        <v>1500.0</v>
      </c>
      <c r="C15" s="71">
        <v>2450.0</v>
      </c>
      <c r="D15" s="71">
        <v>3258.5</v>
      </c>
    </row>
    <row r="16">
      <c r="A16" s="56" t="s">
        <v>92</v>
      </c>
      <c r="B16" s="71">
        <v>0.0</v>
      </c>
      <c r="C16" s="71">
        <v>500.0</v>
      </c>
      <c r="D16" s="71">
        <v>665.0</v>
      </c>
    </row>
    <row r="17">
      <c r="A17" s="56" t="s">
        <v>93</v>
      </c>
      <c r="B17" s="71">
        <f t="shared" ref="B17:D17" si="3">B13+B15-B16</f>
        <v>8500</v>
      </c>
      <c r="C17" s="71">
        <f t="shared" si="3"/>
        <v>10050</v>
      </c>
      <c r="D17" s="71">
        <f t="shared" si="3"/>
        <v>13366.5</v>
      </c>
    </row>
    <row r="18">
      <c r="B18" s="71"/>
      <c r="C18" s="71"/>
      <c r="D18" s="71"/>
    </row>
    <row r="19">
      <c r="A19" s="56" t="s">
        <v>94</v>
      </c>
      <c r="B19" s="100">
        <f t="shared" ref="B19:D19" si="4">B17*0.3</f>
        <v>2550</v>
      </c>
      <c r="C19" s="71">
        <f t="shared" si="4"/>
        <v>3015</v>
      </c>
      <c r="D19" s="71">
        <f t="shared" si="4"/>
        <v>4009.95</v>
      </c>
    </row>
    <row r="20">
      <c r="B20" s="71"/>
      <c r="C20" s="71"/>
      <c r="D20" s="71"/>
    </row>
    <row r="21" ht="15.75" customHeight="1">
      <c r="A21" s="56" t="s">
        <v>95</v>
      </c>
      <c r="B21" s="71">
        <f t="shared" ref="B21:D21" si="5">B17-B19</f>
        <v>5950</v>
      </c>
      <c r="C21" s="71">
        <f t="shared" si="5"/>
        <v>7035</v>
      </c>
      <c r="D21" s="71">
        <f t="shared" si="5"/>
        <v>9356.55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B27" s="56">
        <v>2021.0</v>
      </c>
    </row>
    <row r="28" ht="15.75" customHeight="1">
      <c r="A28" s="56" t="s">
        <v>85</v>
      </c>
      <c r="B28" s="71">
        <v>35000.0</v>
      </c>
    </row>
    <row r="29" ht="15.75" customHeight="1">
      <c r="A29" s="56" t="s">
        <v>86</v>
      </c>
      <c r="B29" s="71">
        <v>17000.0</v>
      </c>
    </row>
    <row r="30" ht="15.75" customHeight="1">
      <c r="A30" s="56" t="s">
        <v>87</v>
      </c>
      <c r="B30" s="71">
        <f>B28-B29</f>
        <v>18000</v>
      </c>
    </row>
    <row r="31" ht="15.75" customHeight="1">
      <c r="B31" s="71"/>
    </row>
    <row r="32" ht="15.75" customHeight="1">
      <c r="A32" s="56" t="s">
        <v>88</v>
      </c>
      <c r="B32" s="71">
        <v>8000.0</v>
      </c>
    </row>
    <row r="33" ht="15.75" customHeight="1">
      <c r="A33" s="56" t="s">
        <v>89</v>
      </c>
      <c r="B33" s="71">
        <v>2700.0</v>
      </c>
    </row>
    <row r="34" ht="15.75" customHeight="1">
      <c r="A34" s="99" t="s">
        <v>99</v>
      </c>
      <c r="B34" s="100">
        <v>0.0</v>
      </c>
    </row>
    <row r="35" ht="15.75" customHeight="1">
      <c r="A35" s="56" t="s">
        <v>90</v>
      </c>
      <c r="B35" s="71">
        <f>B30-B32-B33-B34</f>
        <v>7300</v>
      </c>
    </row>
    <row r="36" ht="15.75" customHeight="1">
      <c r="B36" s="71"/>
    </row>
    <row r="37" ht="15.75" customHeight="1">
      <c r="A37" s="56" t="s">
        <v>91</v>
      </c>
      <c r="B37" s="71">
        <v>1500.0</v>
      </c>
    </row>
    <row r="38" ht="15.75" customHeight="1">
      <c r="A38" s="56" t="s">
        <v>92</v>
      </c>
      <c r="B38" s="71">
        <v>0.0</v>
      </c>
    </row>
    <row r="39" ht="15.75" customHeight="1">
      <c r="A39" s="56" t="s">
        <v>93</v>
      </c>
      <c r="B39" s="71">
        <f>B35+B37-B38</f>
        <v>8800</v>
      </c>
    </row>
    <row r="40" ht="15.75" customHeight="1">
      <c r="B40" s="71"/>
    </row>
    <row r="41" ht="15.75" customHeight="1">
      <c r="A41" s="56" t="s">
        <v>94</v>
      </c>
      <c r="B41" s="100">
        <f>B39*0.3</f>
        <v>2640</v>
      </c>
    </row>
    <row r="42" ht="15.75" customHeight="1">
      <c r="B42" s="71"/>
    </row>
    <row r="43" ht="15.75" customHeight="1">
      <c r="A43" s="56" t="s">
        <v>95</v>
      </c>
      <c r="B43" s="71">
        <f>B39-B41</f>
        <v>6160</v>
      </c>
    </row>
    <row r="44" ht="15.75" customHeight="1"/>
    <row r="45" ht="15.75" customHeight="1">
      <c r="A45" s="96" t="s">
        <v>100</v>
      </c>
      <c r="B45" s="71">
        <f>B41-B19</f>
        <v>90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D2"/>
    <mergeCell ref="B3:D3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6" width="10.71"/>
  </cols>
  <sheetData>
    <row r="1">
      <c r="A1" s="56" t="s">
        <v>101</v>
      </c>
    </row>
    <row r="3">
      <c r="A3" s="56" t="s">
        <v>102</v>
      </c>
      <c r="B3" s="88">
        <v>0.03</v>
      </c>
    </row>
    <row r="4">
      <c r="A4" s="56" t="s">
        <v>103</v>
      </c>
      <c r="B4" s="88">
        <v>0.13</v>
      </c>
    </row>
    <row r="5">
      <c r="A5" s="56" t="s">
        <v>104</v>
      </c>
      <c r="B5" s="56">
        <v>1.2</v>
      </c>
    </row>
    <row r="7">
      <c r="A7" s="56" t="s">
        <v>105</v>
      </c>
      <c r="B7" s="89">
        <f>B3+(B5*(B4-B3))</f>
        <v>0.15</v>
      </c>
    </row>
    <row r="10">
      <c r="A10" s="56" t="s">
        <v>102</v>
      </c>
      <c r="B10" s="88">
        <v>0.03</v>
      </c>
    </row>
    <row r="11">
      <c r="A11" s="56" t="s">
        <v>106</v>
      </c>
      <c r="B11" s="88">
        <v>0.09</v>
      </c>
    </row>
    <row r="12">
      <c r="A12" s="56" t="s">
        <v>104</v>
      </c>
      <c r="B12" s="56">
        <v>0.9</v>
      </c>
    </row>
    <row r="14">
      <c r="A14" s="56" t="s">
        <v>105</v>
      </c>
      <c r="B14" s="89">
        <f>B10+(B12*(B11))</f>
        <v>0.111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6" width="10.71"/>
  </cols>
  <sheetData>
    <row r="1">
      <c r="A1" s="56" t="s">
        <v>107</v>
      </c>
    </row>
    <row r="3">
      <c r="A3" s="56" t="s">
        <v>19</v>
      </c>
      <c r="B3" s="88">
        <v>0.33</v>
      </c>
    </row>
    <row r="4">
      <c r="A4" s="56" t="s">
        <v>108</v>
      </c>
      <c r="B4" s="88">
        <v>0.67</v>
      </c>
    </row>
    <row r="5">
      <c r="B5" s="88">
        <f>SUM(B3:B4)</f>
        <v>1</v>
      </c>
    </row>
    <row r="6">
      <c r="B6" s="88"/>
    </row>
    <row r="7">
      <c r="A7" s="56" t="s">
        <v>109</v>
      </c>
      <c r="B7" s="89">
        <v>0.15</v>
      </c>
    </row>
    <row r="8">
      <c r="A8" s="56" t="s">
        <v>110</v>
      </c>
      <c r="B8" s="89">
        <v>0.08</v>
      </c>
    </row>
    <row r="9">
      <c r="A9" s="56" t="s">
        <v>111</v>
      </c>
      <c r="B9" s="89">
        <v>0.3</v>
      </c>
    </row>
    <row r="12">
      <c r="A12" s="56" t="s">
        <v>112</v>
      </c>
      <c r="B12" s="89">
        <f>costD*(1-B9)</f>
        <v>0.056</v>
      </c>
    </row>
    <row r="13">
      <c r="B13" s="88"/>
    </row>
    <row r="14">
      <c r="B14" s="88"/>
    </row>
    <row r="15">
      <c r="A15" s="56" t="s">
        <v>113</v>
      </c>
      <c r="B15" s="89">
        <f>equityP*CE</f>
        <v>0.0495</v>
      </c>
    </row>
    <row r="16">
      <c r="A16" s="56" t="s">
        <v>114</v>
      </c>
      <c r="B16" s="89">
        <f>B12*debtP</f>
        <v>0.03752</v>
      </c>
    </row>
    <row r="17">
      <c r="A17" s="56" t="s">
        <v>115</v>
      </c>
      <c r="B17" s="89">
        <f>SUM(B15:B16)</f>
        <v>0.08702</v>
      </c>
    </row>
    <row r="20">
      <c r="B20" s="88"/>
    </row>
    <row r="21" ht="15.75" customHeight="1">
      <c r="B21" s="88"/>
    </row>
    <row r="22" ht="15.75" customHeight="1">
      <c r="B22" s="88"/>
    </row>
    <row r="23" ht="15.75" customHeight="1">
      <c r="B23" s="88"/>
    </row>
    <row r="24" ht="15.75" customHeight="1">
      <c r="B24" s="89"/>
    </row>
    <row r="25" ht="15.75" customHeight="1">
      <c r="B25" s="89"/>
    </row>
    <row r="26" ht="15.75" customHeight="1">
      <c r="B26" s="89"/>
    </row>
    <row r="27" ht="15.75" customHeight="1"/>
    <row r="28" ht="15.75" customHeight="1"/>
    <row r="29" ht="15.75" customHeight="1">
      <c r="B29" s="89"/>
    </row>
    <row r="30" ht="15.75" customHeight="1">
      <c r="B30" s="88"/>
    </row>
    <row r="31" ht="15.75" customHeight="1">
      <c r="B31" s="88"/>
    </row>
    <row r="32" ht="15.75" customHeight="1">
      <c r="B32" s="89"/>
    </row>
    <row r="33" ht="15.75" customHeight="1">
      <c r="B33" s="89"/>
    </row>
    <row r="34" ht="15.75" customHeight="1">
      <c r="B34" s="89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30.57"/>
    <col customWidth="1" min="3" max="3" width="22.14"/>
    <col customWidth="1" min="4" max="5" width="13.29"/>
    <col customWidth="1" min="6" max="26" width="10.71"/>
  </cols>
  <sheetData>
    <row r="1">
      <c r="A1" s="24" t="s">
        <v>23</v>
      </c>
      <c r="B1" s="22"/>
      <c r="C1" s="22"/>
      <c r="D1" s="23"/>
    </row>
    <row r="2">
      <c r="A2" s="24" t="s">
        <v>24</v>
      </c>
      <c r="B2" s="22"/>
      <c r="C2" s="22"/>
      <c r="D2" s="23"/>
    </row>
    <row r="3">
      <c r="A3" s="28" t="s">
        <v>25</v>
      </c>
      <c r="B3" s="26"/>
      <c r="C3" s="26"/>
      <c r="D3" s="27"/>
    </row>
    <row r="4">
      <c r="A4" s="10" t="s">
        <v>26</v>
      </c>
      <c r="B4" s="29"/>
      <c r="C4" s="1" t="s">
        <v>27</v>
      </c>
      <c r="D4" s="30"/>
    </row>
    <row r="5">
      <c r="A5" s="14" t="s">
        <v>1</v>
      </c>
      <c r="B5" s="31">
        <v>30000.0</v>
      </c>
      <c r="C5" s="2" t="s">
        <v>28</v>
      </c>
      <c r="D5" s="31">
        <v>23400.0</v>
      </c>
    </row>
    <row r="6">
      <c r="A6" s="14" t="s">
        <v>29</v>
      </c>
      <c r="B6" s="31">
        <v>14200.0</v>
      </c>
      <c r="C6" s="2" t="s">
        <v>30</v>
      </c>
      <c r="D6" s="31">
        <v>33000.0</v>
      </c>
    </row>
    <row r="7">
      <c r="A7" s="14" t="s">
        <v>3</v>
      </c>
      <c r="B7" s="31">
        <v>33000.0</v>
      </c>
      <c r="C7" s="2"/>
      <c r="D7" s="31"/>
    </row>
    <row r="8">
      <c r="A8" s="10" t="s">
        <v>31</v>
      </c>
      <c r="B8" s="32"/>
      <c r="C8" s="10" t="s">
        <v>32</v>
      </c>
      <c r="D8" s="33"/>
    </row>
    <row r="9">
      <c r="A9" s="14" t="s">
        <v>33</v>
      </c>
      <c r="B9" s="31">
        <v>7500.0</v>
      </c>
      <c r="C9" s="14" t="s">
        <v>35</v>
      </c>
      <c r="D9" s="31">
        <v>30000.0</v>
      </c>
      <c r="E9" s="71">
        <f>D5+D6+D9</f>
        <v>86400</v>
      </c>
      <c r="F9" s="89">
        <f>E9/D13</f>
        <v>0.8631368631</v>
      </c>
    </row>
    <row r="10">
      <c r="A10" s="14" t="s">
        <v>12</v>
      </c>
      <c r="B10" s="31">
        <v>15400.0</v>
      </c>
      <c r="C10" s="10" t="s">
        <v>36</v>
      </c>
      <c r="D10" s="33"/>
      <c r="F10" s="89"/>
    </row>
    <row r="11">
      <c r="A11" s="14"/>
      <c r="B11" s="3"/>
      <c r="C11" s="14" t="s">
        <v>20</v>
      </c>
      <c r="D11" s="31">
        <v>10000.0</v>
      </c>
      <c r="F11" s="89"/>
    </row>
    <row r="12">
      <c r="A12" s="14"/>
      <c r="B12" s="31"/>
      <c r="C12" s="2" t="s">
        <v>37</v>
      </c>
      <c r="D12" s="31">
        <v>3700.0</v>
      </c>
      <c r="E12" s="71">
        <f>D12+D11</f>
        <v>13700</v>
      </c>
      <c r="F12" s="89">
        <f>E12/D13</f>
        <v>0.1368631369</v>
      </c>
    </row>
    <row r="13">
      <c r="A13" s="34" t="s">
        <v>18</v>
      </c>
      <c r="B13" s="35">
        <f>SUM(B4:B12)</f>
        <v>100100</v>
      </c>
      <c r="C13" s="36" t="s">
        <v>18</v>
      </c>
      <c r="D13" s="35">
        <f>SUM(D4:D12)</f>
        <v>100100</v>
      </c>
      <c r="E13" s="71">
        <f t="shared" ref="E13:F13" si="1">SUM(E9:E12)</f>
        <v>100100</v>
      </c>
      <c r="F13" s="89">
        <f t="shared" si="1"/>
        <v>1</v>
      </c>
    </row>
    <row r="16">
      <c r="A16" s="56" t="s">
        <v>107</v>
      </c>
    </row>
    <row r="17">
      <c r="A17" s="56" t="s">
        <v>19</v>
      </c>
      <c r="B17" s="89">
        <f>F12</f>
        <v>0.1368631369</v>
      </c>
    </row>
    <row r="18">
      <c r="A18" s="56" t="s">
        <v>108</v>
      </c>
      <c r="B18" s="89">
        <f>F9</f>
        <v>0.8631368631</v>
      </c>
    </row>
    <row r="20">
      <c r="A20" s="56" t="s">
        <v>116</v>
      </c>
      <c r="B20" s="88">
        <f>B23+(B25*(B24-B23))</f>
        <v>0.215</v>
      </c>
    </row>
    <row r="21" ht="15.75" customHeight="1"/>
    <row r="22" ht="15.75" customHeight="1"/>
    <row r="23" ht="15.75" customHeight="1">
      <c r="A23" s="56" t="s">
        <v>102</v>
      </c>
      <c r="B23" s="88">
        <v>0.02</v>
      </c>
    </row>
    <row r="24" ht="15.75" customHeight="1">
      <c r="A24" s="56" t="s">
        <v>117</v>
      </c>
      <c r="B24" s="88">
        <v>0.15</v>
      </c>
    </row>
    <row r="25" ht="15.75" customHeight="1">
      <c r="A25" s="56" t="s">
        <v>104</v>
      </c>
      <c r="B25" s="56">
        <v>1.5</v>
      </c>
    </row>
    <row r="26" ht="15.75" customHeight="1"/>
    <row r="27" ht="15.75" customHeight="1">
      <c r="A27" s="56" t="s">
        <v>118</v>
      </c>
      <c r="B27" s="89">
        <v>0.08</v>
      </c>
    </row>
    <row r="28" ht="15.75" customHeight="1">
      <c r="A28" s="56" t="s">
        <v>109</v>
      </c>
      <c r="B28" s="89">
        <f>B20</f>
        <v>0.215</v>
      </c>
    </row>
    <row r="29" ht="15.75" customHeight="1"/>
    <row r="30" ht="15.75" customHeight="1">
      <c r="A30" s="56" t="s">
        <v>111</v>
      </c>
      <c r="B30" s="88">
        <v>0.3</v>
      </c>
    </row>
    <row r="31" ht="15.75" customHeight="1"/>
    <row r="32" ht="15.75" customHeight="1">
      <c r="A32" s="56" t="s">
        <v>119</v>
      </c>
      <c r="B32" s="89">
        <f>B27*0.7</f>
        <v>0.056</v>
      </c>
    </row>
    <row r="33" ht="15.75" customHeight="1"/>
    <row r="34" ht="15.75" customHeight="1"/>
    <row r="35" ht="15.75" customHeight="1">
      <c r="A35" s="56" t="s">
        <v>113</v>
      </c>
      <c r="B35" s="89">
        <f>B28*B17</f>
        <v>0.02942557443</v>
      </c>
    </row>
    <row r="36" ht="15.75" customHeight="1">
      <c r="A36" s="56" t="s">
        <v>114</v>
      </c>
      <c r="B36" s="89">
        <f>B32*B18</f>
        <v>0.04833566434</v>
      </c>
    </row>
    <row r="37" ht="15.75" customHeight="1">
      <c r="A37" s="56" t="s">
        <v>120</v>
      </c>
      <c r="B37" s="89">
        <f>B35+B36</f>
        <v>0.07776123876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2"/>
    <mergeCell ref="A3:D3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4" width="12.71"/>
    <col customWidth="1" min="5" max="26" width="10.71"/>
  </cols>
  <sheetData>
    <row r="3">
      <c r="B3" s="56">
        <v>2021.0</v>
      </c>
      <c r="C3" s="56">
        <v>2022.0</v>
      </c>
      <c r="D3" s="56">
        <v>2023.0</v>
      </c>
    </row>
    <row r="4">
      <c r="A4" s="56" t="s">
        <v>121</v>
      </c>
      <c r="B4" s="71">
        <v>550000.0</v>
      </c>
      <c r="C4" s="71">
        <v>750000.0</v>
      </c>
      <c r="D4" s="71">
        <v>800000.0</v>
      </c>
    </row>
    <row r="5">
      <c r="A5" s="56" t="s">
        <v>122</v>
      </c>
      <c r="B5" s="101">
        <f t="shared" ref="B5:D5" si="1">B4*0.3</f>
        <v>165000</v>
      </c>
      <c r="C5" s="101">
        <f t="shared" si="1"/>
        <v>225000</v>
      </c>
      <c r="D5" s="101">
        <f t="shared" si="1"/>
        <v>240000</v>
      </c>
    </row>
    <row r="6">
      <c r="A6" s="56" t="s">
        <v>123</v>
      </c>
      <c r="B6" s="73">
        <f t="shared" ref="B6:D6" si="2">B4-B5</f>
        <v>385000</v>
      </c>
      <c r="C6" s="73">
        <f t="shared" si="2"/>
        <v>525000</v>
      </c>
      <c r="D6" s="73">
        <f t="shared" si="2"/>
        <v>560000</v>
      </c>
    </row>
    <row r="7">
      <c r="A7" s="56" t="s">
        <v>124</v>
      </c>
      <c r="B7" s="71">
        <v>7000.0</v>
      </c>
      <c r="C7" s="71">
        <v>7000.0</v>
      </c>
      <c r="D7" s="71">
        <v>7000.0</v>
      </c>
    </row>
    <row r="8">
      <c r="A8" s="56" t="s">
        <v>125</v>
      </c>
      <c r="B8" s="71">
        <v>-4000.0</v>
      </c>
      <c r="C8" s="71">
        <v>-4000.0</v>
      </c>
      <c r="D8" s="71">
        <v>-4000.0</v>
      </c>
    </row>
    <row r="9">
      <c r="A9" s="56" t="s">
        <v>126</v>
      </c>
      <c r="B9" s="71">
        <v>10000.0</v>
      </c>
      <c r="C9" s="71">
        <v>0.0</v>
      </c>
      <c r="D9" s="71">
        <v>0.0</v>
      </c>
    </row>
    <row r="11">
      <c r="A11" s="56" t="s">
        <v>127</v>
      </c>
      <c r="B11" s="71">
        <f t="shared" ref="B11:D11" si="3">B6+B7-B8-B9</f>
        <v>386000</v>
      </c>
      <c r="C11" s="71">
        <f t="shared" si="3"/>
        <v>536000</v>
      </c>
      <c r="D11" s="71">
        <f t="shared" si="3"/>
        <v>571000</v>
      </c>
    </row>
    <row r="13">
      <c r="A13" s="56" t="s">
        <v>120</v>
      </c>
      <c r="B13" s="88">
        <v>0.15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5.0"/>
    <col customWidth="1" min="3" max="4" width="13.29"/>
    <col customWidth="1" min="5" max="26" width="10.71"/>
  </cols>
  <sheetData>
    <row r="3">
      <c r="B3" s="56">
        <v>2021.0</v>
      </c>
    </row>
    <row r="4">
      <c r="A4" s="56" t="s">
        <v>85</v>
      </c>
      <c r="B4" s="71">
        <v>35000.0</v>
      </c>
    </row>
    <row r="5">
      <c r="A5" s="56" t="s">
        <v>86</v>
      </c>
      <c r="B5" s="71">
        <v>17000.0</v>
      </c>
    </row>
    <row r="6">
      <c r="A6" s="56" t="s">
        <v>87</v>
      </c>
      <c r="B6" s="71">
        <f>B4-B5</f>
        <v>18000</v>
      </c>
    </row>
    <row r="7">
      <c r="B7" s="71"/>
    </row>
    <row r="8">
      <c r="A8" s="56" t="s">
        <v>88</v>
      </c>
      <c r="B8" s="71">
        <v>8000.0</v>
      </c>
    </row>
    <row r="9">
      <c r="A9" s="56" t="s">
        <v>89</v>
      </c>
      <c r="B9" s="71">
        <v>2700.0</v>
      </c>
    </row>
    <row r="10">
      <c r="A10" s="99" t="s">
        <v>99</v>
      </c>
      <c r="B10" s="100">
        <v>300.0</v>
      </c>
    </row>
    <row r="11">
      <c r="A11" s="56" t="s">
        <v>90</v>
      </c>
      <c r="B11" s="71">
        <f>B6-B8-B9-B10</f>
        <v>7000</v>
      </c>
    </row>
    <row r="12">
      <c r="B12" s="71"/>
    </row>
    <row r="13">
      <c r="A13" s="56" t="s">
        <v>91</v>
      </c>
      <c r="B13" s="71">
        <v>1500.0</v>
      </c>
    </row>
    <row r="14">
      <c r="A14" s="56" t="s">
        <v>92</v>
      </c>
      <c r="B14" s="71">
        <v>0.0</v>
      </c>
    </row>
    <row r="15">
      <c r="A15" s="56" t="s">
        <v>93</v>
      </c>
      <c r="B15" s="71">
        <f>B11+B13-B14</f>
        <v>8500</v>
      </c>
    </row>
    <row r="16">
      <c r="B16" s="71"/>
    </row>
    <row r="17">
      <c r="A17" s="56" t="s">
        <v>94</v>
      </c>
      <c r="B17" s="100">
        <f>B15*0.3</f>
        <v>2550</v>
      </c>
    </row>
    <row r="18">
      <c r="B18" s="71"/>
    </row>
    <row r="19">
      <c r="A19" s="56" t="s">
        <v>95</v>
      </c>
      <c r="B19" s="71">
        <f>B15-B17</f>
        <v>5950</v>
      </c>
    </row>
    <row r="21" ht="15.75" customHeight="1"/>
    <row r="22" ht="15.75" customHeight="1"/>
    <row r="23" ht="15.75" customHeight="1">
      <c r="B23" s="56">
        <v>2021.0</v>
      </c>
    </row>
    <row r="24" ht="15.75" customHeight="1">
      <c r="A24" s="56" t="s">
        <v>121</v>
      </c>
      <c r="B24" s="71">
        <f>B6-B8-B9-B10</f>
        <v>7000</v>
      </c>
    </row>
    <row r="25" ht="15.75" customHeight="1">
      <c r="A25" s="56" t="s">
        <v>122</v>
      </c>
      <c r="B25" s="101">
        <f>B24*0.3</f>
        <v>2100</v>
      </c>
    </row>
    <row r="26" ht="15.75" customHeight="1">
      <c r="A26" s="56" t="s">
        <v>123</v>
      </c>
      <c r="B26" s="71">
        <f>B24-B25</f>
        <v>4900</v>
      </c>
    </row>
    <row r="27" ht="15.75" customHeight="1">
      <c r="A27" s="56" t="s">
        <v>124</v>
      </c>
      <c r="B27" s="71">
        <f>B10</f>
        <v>300</v>
      </c>
    </row>
    <row r="28" ht="15.75" customHeight="1">
      <c r="A28" s="56" t="s">
        <v>125</v>
      </c>
      <c r="B28" s="71">
        <v>-2000.0</v>
      </c>
    </row>
    <row r="29" ht="15.75" customHeight="1">
      <c r="A29" s="56" t="s">
        <v>126</v>
      </c>
      <c r="B29" s="71">
        <v>5000.0</v>
      </c>
    </row>
    <row r="30" ht="15.75" customHeight="1"/>
    <row r="31" ht="15.75" customHeight="1">
      <c r="A31" s="56" t="s">
        <v>127</v>
      </c>
      <c r="B31" s="71">
        <f>B26+B27-B28-B29</f>
        <v>2200</v>
      </c>
    </row>
    <row r="32" ht="15.75" customHeight="1"/>
    <row r="33" ht="15.75" customHeight="1"/>
    <row r="34" ht="15.75" customHeight="1">
      <c r="A34" s="56" t="s">
        <v>128</v>
      </c>
    </row>
    <row r="35" ht="15.75" customHeight="1"/>
    <row r="36" ht="15.75" customHeight="1">
      <c r="B36" s="56">
        <v>2021.0</v>
      </c>
      <c r="C36" s="56">
        <v>2022.0</v>
      </c>
      <c r="D36" s="56">
        <v>2023.0</v>
      </c>
    </row>
    <row r="37" ht="15.75" customHeight="1">
      <c r="A37" s="56" t="s">
        <v>121</v>
      </c>
      <c r="B37" s="71">
        <v>550000.0</v>
      </c>
      <c r="C37" s="71">
        <v>750000.0</v>
      </c>
      <c r="D37" s="71">
        <v>800000.0</v>
      </c>
    </row>
    <row r="38" ht="15.75" customHeight="1">
      <c r="A38" s="56" t="s">
        <v>122</v>
      </c>
      <c r="B38" s="101">
        <f t="shared" ref="B38:D38" si="1">B37*0.3</f>
        <v>165000</v>
      </c>
      <c r="C38" s="101">
        <f t="shared" si="1"/>
        <v>225000</v>
      </c>
      <c r="D38" s="101">
        <f t="shared" si="1"/>
        <v>240000</v>
      </c>
    </row>
    <row r="39" ht="15.75" customHeight="1">
      <c r="A39" s="56" t="s">
        <v>123</v>
      </c>
      <c r="B39" s="71">
        <f t="shared" ref="B39:D39" si="2">B37-B38</f>
        <v>385000</v>
      </c>
      <c r="C39" s="71">
        <f t="shared" si="2"/>
        <v>525000</v>
      </c>
      <c r="D39" s="71">
        <f t="shared" si="2"/>
        <v>560000</v>
      </c>
    </row>
    <row r="40" ht="15.75" customHeight="1">
      <c r="A40" s="56" t="s">
        <v>124</v>
      </c>
      <c r="B40" s="71">
        <v>7000.0</v>
      </c>
      <c r="C40" s="71">
        <v>7000.0</v>
      </c>
      <c r="D40" s="71">
        <v>7000.0</v>
      </c>
    </row>
    <row r="41" ht="15.75" customHeight="1">
      <c r="A41" s="56" t="s">
        <v>125</v>
      </c>
      <c r="B41" s="71">
        <v>-4000.0</v>
      </c>
      <c r="C41" s="71">
        <v>-4000.0</v>
      </c>
      <c r="D41" s="71">
        <v>-4000.0</v>
      </c>
    </row>
    <row r="42" ht="15.75" customHeight="1">
      <c r="A42" s="56" t="s">
        <v>126</v>
      </c>
      <c r="B42" s="71">
        <v>10000.0</v>
      </c>
      <c r="C42" s="71">
        <v>0.0</v>
      </c>
      <c r="D42" s="71">
        <v>0.0</v>
      </c>
    </row>
    <row r="43" ht="15.75" customHeight="1"/>
    <row r="44" ht="15.75" customHeight="1">
      <c r="A44" s="56" t="s">
        <v>127</v>
      </c>
      <c r="B44" s="71">
        <f t="shared" ref="B44:D44" si="3">B39+B40-B41-B42</f>
        <v>386000</v>
      </c>
      <c r="C44" s="71">
        <f t="shared" si="3"/>
        <v>536000</v>
      </c>
      <c r="D44" s="71">
        <f t="shared" si="3"/>
        <v>571000</v>
      </c>
    </row>
    <row r="45" ht="15.75" customHeight="1"/>
    <row r="46" ht="15.75" customHeight="1"/>
    <row r="47" ht="15.75" customHeight="1">
      <c r="A47" s="56" t="s">
        <v>120</v>
      </c>
      <c r="B47" s="88">
        <v>0.15</v>
      </c>
    </row>
    <row r="48" ht="15.75" customHeight="1"/>
    <row r="49" ht="15.75" customHeight="1">
      <c r="A49" s="56" t="s">
        <v>129</v>
      </c>
      <c r="B49" s="71">
        <f>B44/(1+B47)^1</f>
        <v>335652.1739</v>
      </c>
      <c r="C49" s="71">
        <f>C44/(1+C47)^2</f>
        <v>536000</v>
      </c>
      <c r="D49" s="71">
        <f>D44/(1+D47)^3</f>
        <v>571000</v>
      </c>
    </row>
    <row r="50" ht="15.75" customHeight="1"/>
    <row r="51" ht="15.75" customHeight="1">
      <c r="A51" s="56" t="s">
        <v>130</v>
      </c>
      <c r="B51" s="71">
        <f>B49+C49+D49</f>
        <v>1442652.174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8.14"/>
    <col customWidth="1" min="3" max="4" width="12.57"/>
    <col customWidth="1" min="5" max="5" width="25.86"/>
    <col customWidth="1" min="6" max="6" width="11.43"/>
    <col customWidth="1" min="7" max="7" width="12.57"/>
    <col customWidth="1" min="8" max="26" width="10.7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0" t="s">
        <v>4</v>
      </c>
      <c r="C2" s="5"/>
      <c r="D2" s="5"/>
      <c r="E2" s="5"/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7"/>
      <c r="C3" s="8"/>
      <c r="D3" s="8"/>
      <c r="E3" s="8"/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10" t="s">
        <v>0</v>
      </c>
      <c r="C4" s="2"/>
      <c r="D4" s="2"/>
      <c r="E4" s="11" t="s">
        <v>5</v>
      </c>
      <c r="F4" s="12"/>
      <c r="G4" s="1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4" t="s">
        <v>1</v>
      </c>
      <c r="C5" s="3">
        <v>5000.0</v>
      </c>
      <c r="D5" s="2"/>
      <c r="E5" s="14" t="s">
        <v>6</v>
      </c>
      <c r="F5" s="3">
        <v>4000.0</v>
      </c>
      <c r="G5" s="1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4" t="s">
        <v>2</v>
      </c>
      <c r="C6" s="3">
        <v>13000.0</v>
      </c>
      <c r="D6" s="2"/>
      <c r="E6" s="14" t="s">
        <v>7</v>
      </c>
      <c r="F6" s="3">
        <v>5000.0</v>
      </c>
      <c r="G6" s="1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4" t="s">
        <v>3</v>
      </c>
      <c r="C7" s="3">
        <v>48000.0</v>
      </c>
      <c r="D7" s="2"/>
      <c r="E7" s="14" t="s">
        <v>8</v>
      </c>
      <c r="F7" s="3">
        <v>30000.0</v>
      </c>
      <c r="G7" s="1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4"/>
      <c r="C8" s="3"/>
      <c r="D8" s="2"/>
      <c r="E8" s="14" t="s">
        <v>9</v>
      </c>
      <c r="F8" s="3">
        <v>5000.0</v>
      </c>
      <c r="G8" s="1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4"/>
      <c r="C9" s="2"/>
      <c r="D9" s="2"/>
      <c r="E9" s="14"/>
      <c r="F9" s="2"/>
      <c r="G9" s="1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0" t="s">
        <v>10</v>
      </c>
      <c r="C10" s="3"/>
      <c r="D10" s="2"/>
      <c r="E10" s="10" t="s">
        <v>15</v>
      </c>
      <c r="F10" s="3"/>
      <c r="G10" s="1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4" t="s">
        <v>11</v>
      </c>
      <c r="C11" s="3">
        <v>30000.0</v>
      </c>
      <c r="D11" s="2"/>
      <c r="E11" s="14" t="s">
        <v>16</v>
      </c>
      <c r="F11" s="3">
        <v>20000.0</v>
      </c>
      <c r="G11" s="1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4" t="s">
        <v>12</v>
      </c>
      <c r="C12" s="3">
        <v>120000.0</v>
      </c>
      <c r="D12" s="2"/>
      <c r="E12" s="14" t="s">
        <v>17</v>
      </c>
      <c r="F12" s="3">
        <v>50000.0</v>
      </c>
      <c r="G12" s="1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4" t="s">
        <v>13</v>
      </c>
      <c r="C13" s="3">
        <v>6000.0</v>
      </c>
      <c r="D13" s="2"/>
      <c r="E13" s="14"/>
      <c r="F13" s="2"/>
      <c r="G13" s="1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4" t="s">
        <v>14</v>
      </c>
      <c r="C14" s="3">
        <v>2000.0</v>
      </c>
      <c r="D14" s="2"/>
      <c r="E14" s="14"/>
      <c r="F14" s="2"/>
      <c r="G14" s="1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4"/>
      <c r="C15" s="2"/>
      <c r="D15" s="2"/>
      <c r="E15" s="10" t="s">
        <v>19</v>
      </c>
      <c r="F15" s="3"/>
      <c r="G15" s="1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4"/>
      <c r="C16" s="2"/>
      <c r="D16" s="2"/>
      <c r="E16" s="14" t="s">
        <v>20</v>
      </c>
      <c r="F16" s="3">
        <v>80000.0</v>
      </c>
      <c r="G16" s="15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4"/>
      <c r="C17" s="2"/>
      <c r="D17" s="2"/>
      <c r="E17" s="14" t="s">
        <v>21</v>
      </c>
      <c r="F17" s="3">
        <v>30000.0</v>
      </c>
      <c r="G17" s="15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4"/>
      <c r="C18" s="2"/>
      <c r="D18" s="2"/>
      <c r="E18" s="14"/>
      <c r="F18" s="2"/>
      <c r="G18" s="15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6" t="s">
        <v>18</v>
      </c>
      <c r="C19" s="17"/>
      <c r="D19" s="18">
        <f>SUM(C5:C14)</f>
        <v>224000</v>
      </c>
      <c r="E19" s="16" t="s">
        <v>18</v>
      </c>
      <c r="F19" s="17"/>
      <c r="G19" s="19">
        <f>SUM(F5:F18)</f>
        <v>224000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G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9.71"/>
    <col customWidth="1" min="3" max="3" width="12.57"/>
    <col customWidth="1" min="4" max="4" width="22.14"/>
    <col customWidth="1" min="5" max="5" width="12.57"/>
    <col customWidth="1" min="6" max="6" width="11.43"/>
    <col customWidth="1" min="7" max="7" width="21.0"/>
    <col customWidth="1" min="8" max="8" width="12.57"/>
    <col customWidth="1" min="9" max="9" width="22.14"/>
    <col customWidth="1" min="10" max="10" width="12.57"/>
    <col customWidth="1" min="11" max="26" width="10.7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1" t="s">
        <v>22</v>
      </c>
      <c r="C4" s="22"/>
      <c r="D4" s="22"/>
      <c r="E4" s="23"/>
      <c r="F4" s="2"/>
      <c r="G4" s="24" t="s">
        <v>23</v>
      </c>
      <c r="H4" s="22"/>
      <c r="I4" s="22"/>
      <c r="J4" s="2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1" t="s">
        <v>24</v>
      </c>
      <c r="C5" s="22"/>
      <c r="D5" s="22"/>
      <c r="E5" s="23"/>
      <c r="F5" s="2"/>
      <c r="G5" s="24" t="s">
        <v>24</v>
      </c>
      <c r="H5" s="22"/>
      <c r="I5" s="22"/>
      <c r="J5" s="2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5" t="s">
        <v>25</v>
      </c>
      <c r="C6" s="26"/>
      <c r="D6" s="26"/>
      <c r="E6" s="27"/>
      <c r="F6" s="2"/>
      <c r="G6" s="28" t="s">
        <v>25</v>
      </c>
      <c r="H6" s="26"/>
      <c r="I6" s="26"/>
      <c r="J6" s="2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0" t="s">
        <v>26</v>
      </c>
      <c r="C7" s="29"/>
      <c r="D7" s="1" t="s">
        <v>27</v>
      </c>
      <c r="E7" s="30"/>
      <c r="F7" s="2"/>
      <c r="G7" s="10" t="s">
        <v>26</v>
      </c>
      <c r="H7" s="29"/>
      <c r="I7" s="1" t="s">
        <v>27</v>
      </c>
      <c r="J7" s="3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4" t="s">
        <v>1</v>
      </c>
      <c r="C8" s="31">
        <v>55000.0</v>
      </c>
      <c r="D8" s="2" t="s">
        <v>28</v>
      </c>
      <c r="E8" s="31">
        <v>23400.0</v>
      </c>
      <c r="F8" s="2"/>
      <c r="G8" s="14" t="s">
        <v>1</v>
      </c>
      <c r="H8" s="31">
        <v>30000.0</v>
      </c>
      <c r="I8" s="2" t="s">
        <v>28</v>
      </c>
      <c r="J8" s="31">
        <v>23400.0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4" t="s">
        <v>29</v>
      </c>
      <c r="C9" s="31">
        <v>19600.0</v>
      </c>
      <c r="D9" s="2" t="s">
        <v>30</v>
      </c>
      <c r="E9" s="31">
        <v>3000.0</v>
      </c>
      <c r="F9" s="2"/>
      <c r="G9" s="14" t="s">
        <v>29</v>
      </c>
      <c r="H9" s="31">
        <v>14200.0</v>
      </c>
      <c r="I9" s="2" t="s">
        <v>30</v>
      </c>
      <c r="J9" s="31">
        <v>33000.0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4" t="s">
        <v>3</v>
      </c>
      <c r="C10" s="31">
        <v>18000.0</v>
      </c>
      <c r="D10" s="2"/>
      <c r="E10" s="31"/>
      <c r="F10" s="2"/>
      <c r="G10" s="14" t="s">
        <v>3</v>
      </c>
      <c r="H10" s="31">
        <v>33000.0</v>
      </c>
      <c r="I10" s="2"/>
      <c r="J10" s="3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0" t="s">
        <v>31</v>
      </c>
      <c r="C11" s="32"/>
      <c r="D11" s="10" t="s">
        <v>32</v>
      </c>
      <c r="E11" s="33"/>
      <c r="F11" s="2"/>
      <c r="G11" s="10" t="s">
        <v>31</v>
      </c>
      <c r="H11" s="32"/>
      <c r="I11" s="10" t="s">
        <v>32</v>
      </c>
      <c r="J11" s="3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4" t="s">
        <v>33</v>
      </c>
      <c r="C12" s="31">
        <v>7500.0</v>
      </c>
      <c r="D12" s="14" t="s">
        <v>34</v>
      </c>
      <c r="E12" s="31">
        <v>20000.0</v>
      </c>
      <c r="F12" s="2"/>
      <c r="G12" s="14" t="s">
        <v>33</v>
      </c>
      <c r="H12" s="31">
        <v>7500.0</v>
      </c>
      <c r="I12" s="14" t="s">
        <v>35</v>
      </c>
      <c r="J12" s="31">
        <v>30000.0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4"/>
      <c r="C13" s="3"/>
      <c r="D13" s="10" t="s">
        <v>36</v>
      </c>
      <c r="E13" s="33"/>
      <c r="F13" s="2"/>
      <c r="G13" s="14" t="s">
        <v>12</v>
      </c>
      <c r="H13" s="31">
        <v>15400.0</v>
      </c>
      <c r="I13" s="10" t="s">
        <v>36</v>
      </c>
      <c r="J13" s="3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4"/>
      <c r="C14" s="3"/>
      <c r="D14" s="14" t="s">
        <v>20</v>
      </c>
      <c r="E14" s="31">
        <v>30000.0</v>
      </c>
      <c r="F14" s="2"/>
      <c r="G14" s="14"/>
      <c r="H14" s="3"/>
      <c r="I14" s="14" t="s">
        <v>20</v>
      </c>
      <c r="J14" s="31">
        <v>10000.0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4"/>
      <c r="C15" s="31"/>
      <c r="D15" s="2" t="s">
        <v>37</v>
      </c>
      <c r="E15" s="31">
        <v>23700.0</v>
      </c>
      <c r="F15" s="2"/>
      <c r="G15" s="14"/>
      <c r="H15" s="31"/>
      <c r="I15" s="2" t="s">
        <v>37</v>
      </c>
      <c r="J15" s="31">
        <v>3700.0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34" t="s">
        <v>18</v>
      </c>
      <c r="C16" s="35">
        <f>SUM(C7:C15)</f>
        <v>100100</v>
      </c>
      <c r="D16" s="36" t="s">
        <v>18</v>
      </c>
      <c r="E16" s="35">
        <f>SUM(E7:E15)</f>
        <v>100100</v>
      </c>
      <c r="F16" s="2"/>
      <c r="G16" s="34" t="s">
        <v>18</v>
      </c>
      <c r="H16" s="35">
        <f>SUM(H7:H15)</f>
        <v>100100</v>
      </c>
      <c r="I16" s="36" t="s">
        <v>18</v>
      </c>
      <c r="J16" s="35">
        <f>SUM(J7:J15)</f>
        <v>100100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B4:E4"/>
    <mergeCell ref="G4:J4"/>
    <mergeCell ref="B5:E5"/>
    <mergeCell ref="G5:J5"/>
    <mergeCell ref="B6:E6"/>
    <mergeCell ref="G6:J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6" width="11.43"/>
    <col customWidth="1" min="7" max="26" width="10.7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7" t="s">
        <v>22</v>
      </c>
      <c r="C2" s="38"/>
      <c r="D2" s="3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40"/>
      <c r="C3" s="8"/>
      <c r="D3" s="4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2"/>
      <c r="B4" s="43">
        <v>2021.0</v>
      </c>
      <c r="C4" s="44">
        <v>2022.0</v>
      </c>
      <c r="D4" s="43">
        <v>2023.0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5" t="s">
        <v>26</v>
      </c>
      <c r="B5" s="46"/>
      <c r="C5" s="42"/>
      <c r="D5" s="4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8" t="s">
        <v>1</v>
      </c>
      <c r="B6" s="49">
        <v>55000.0</v>
      </c>
      <c r="C6" s="50">
        <v>67650.0</v>
      </c>
      <c r="D6" s="49">
        <v>89974.5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8" t="s">
        <v>29</v>
      </c>
      <c r="B7" s="49">
        <v>19600.0</v>
      </c>
      <c r="C7" s="50">
        <v>24108.0</v>
      </c>
      <c r="D7" s="49">
        <v>32063.640000000003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8" t="s">
        <v>3</v>
      </c>
      <c r="B8" s="49">
        <v>18000.0</v>
      </c>
      <c r="C8" s="50">
        <v>22140.0</v>
      </c>
      <c r="D8" s="49">
        <v>29446.2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2"/>
      <c r="B9" s="47"/>
      <c r="C9" s="50"/>
      <c r="D9" s="4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5" t="s">
        <v>31</v>
      </c>
      <c r="B10" s="51"/>
      <c r="C10" s="42"/>
      <c r="D10" s="4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8" t="s">
        <v>33</v>
      </c>
      <c r="B11" s="49">
        <v>7500.0</v>
      </c>
      <c r="C11" s="50">
        <v>9225.0</v>
      </c>
      <c r="D11" s="49">
        <v>12269.25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2"/>
      <c r="B12" s="47"/>
      <c r="C12" s="42"/>
      <c r="D12" s="4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2" t="s">
        <v>27</v>
      </c>
      <c r="B13" s="53"/>
      <c r="C13" s="42"/>
      <c r="D13" s="4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2" t="s">
        <v>28</v>
      </c>
      <c r="B14" s="49">
        <v>23400.0</v>
      </c>
      <c r="C14" s="50">
        <v>28782.0</v>
      </c>
      <c r="D14" s="49">
        <v>38280.060000000005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2" t="s">
        <v>30</v>
      </c>
      <c r="B15" s="49">
        <v>3000.0</v>
      </c>
      <c r="C15" s="50">
        <v>3690.0</v>
      </c>
      <c r="D15" s="49">
        <v>4907.7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2"/>
      <c r="B16" s="47"/>
      <c r="C16" s="50"/>
      <c r="D16" s="4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5" t="s">
        <v>32</v>
      </c>
      <c r="B17" s="51"/>
      <c r="C17" s="42"/>
      <c r="D17" s="4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8" t="s">
        <v>34</v>
      </c>
      <c r="B18" s="49">
        <v>20000.0</v>
      </c>
      <c r="C18" s="50">
        <v>24600.0</v>
      </c>
      <c r="D18" s="49">
        <v>32718.0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8"/>
      <c r="B19" s="49"/>
      <c r="C19" s="50"/>
      <c r="D19" s="4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5" t="s">
        <v>36</v>
      </c>
      <c r="B20" s="51"/>
      <c r="C20" s="50"/>
      <c r="D20" s="4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8" t="s">
        <v>20</v>
      </c>
      <c r="B21" s="49">
        <v>30000.0</v>
      </c>
      <c r="C21" s="50">
        <v>36900.0</v>
      </c>
      <c r="D21" s="49">
        <v>49077.0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2" t="s">
        <v>37</v>
      </c>
      <c r="B22" s="54">
        <v>23700.0</v>
      </c>
      <c r="C22" s="55">
        <v>29151.0</v>
      </c>
      <c r="D22" s="54">
        <v>38770.83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D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71"/>
    <col customWidth="1" min="3" max="3" width="12.57"/>
    <col customWidth="1" min="4" max="4" width="22.14"/>
    <col customWidth="1" min="5" max="5" width="12.57"/>
    <col customWidth="1" min="6" max="6" width="10.71"/>
    <col customWidth="1" min="7" max="7" width="19.71"/>
    <col customWidth="1" min="8" max="8" width="12.57"/>
    <col customWidth="1" min="9" max="9" width="22.14"/>
    <col customWidth="1" min="10" max="12" width="12.57"/>
    <col customWidth="1" min="13" max="13" width="19.71"/>
    <col customWidth="1" min="14" max="14" width="12.57"/>
    <col customWidth="1" min="15" max="15" width="22.14"/>
    <col customWidth="1" min="16" max="16" width="12.57"/>
    <col customWidth="1" min="17" max="17" width="14.14"/>
    <col customWidth="1" min="18" max="26" width="10.71"/>
  </cols>
  <sheetData>
    <row r="2">
      <c r="B2" s="56" t="s">
        <v>22</v>
      </c>
      <c r="G2" s="56" t="s">
        <v>22</v>
      </c>
      <c r="M2" s="56" t="s">
        <v>22</v>
      </c>
    </row>
    <row r="3">
      <c r="B3" s="56" t="s">
        <v>24</v>
      </c>
      <c r="G3" s="56" t="s">
        <v>38</v>
      </c>
      <c r="M3" s="56" t="s">
        <v>39</v>
      </c>
    </row>
    <row r="6">
      <c r="B6" s="57" t="s">
        <v>25</v>
      </c>
      <c r="C6" s="58"/>
      <c r="D6" s="58"/>
      <c r="E6" s="59"/>
      <c r="G6" s="57" t="s">
        <v>25</v>
      </c>
      <c r="H6" s="58"/>
      <c r="I6" s="58"/>
      <c r="J6" s="59"/>
      <c r="K6" s="60"/>
      <c r="M6" s="57" t="s">
        <v>25</v>
      </c>
      <c r="N6" s="58"/>
      <c r="O6" s="58"/>
      <c r="P6" s="59"/>
    </row>
    <row r="7">
      <c r="B7" s="61" t="s">
        <v>26</v>
      </c>
      <c r="C7" s="62"/>
      <c r="D7" s="63" t="s">
        <v>27</v>
      </c>
      <c r="E7" s="64"/>
      <c r="G7" s="61" t="s">
        <v>26</v>
      </c>
      <c r="H7" s="65"/>
      <c r="I7" s="66" t="s">
        <v>27</v>
      </c>
      <c r="J7" s="67"/>
      <c r="K7" s="68"/>
      <c r="M7" s="61" t="s">
        <v>26</v>
      </c>
      <c r="N7" s="65"/>
      <c r="O7" s="66" t="s">
        <v>27</v>
      </c>
      <c r="P7" s="67"/>
    </row>
    <row r="8">
      <c r="B8" s="69" t="s">
        <v>1</v>
      </c>
      <c r="C8" s="70">
        <v>55000.0</v>
      </c>
      <c r="D8" s="56" t="s">
        <v>28</v>
      </c>
      <c r="E8" s="70">
        <v>23400.0</v>
      </c>
      <c r="G8" s="69" t="s">
        <v>1</v>
      </c>
      <c r="H8" s="71">
        <v>67650.0</v>
      </c>
      <c r="I8" s="72" t="s">
        <v>28</v>
      </c>
      <c r="J8" s="70">
        <v>28782.0</v>
      </c>
      <c r="K8" s="71"/>
      <c r="M8" s="69" t="s">
        <v>1</v>
      </c>
      <c r="N8" s="71">
        <v>89974.5</v>
      </c>
      <c r="O8" s="72" t="s">
        <v>28</v>
      </c>
      <c r="P8" s="70">
        <v>38280.060000000005</v>
      </c>
      <c r="Q8" s="56" t="s">
        <v>40</v>
      </c>
    </row>
    <row r="9">
      <c r="B9" s="69" t="s">
        <v>29</v>
      </c>
      <c r="C9" s="70">
        <v>19600.0</v>
      </c>
      <c r="D9" s="56" t="s">
        <v>30</v>
      </c>
      <c r="E9" s="70">
        <v>3000.0</v>
      </c>
      <c r="G9" s="69" t="s">
        <v>29</v>
      </c>
      <c r="H9" s="71">
        <v>24108.0</v>
      </c>
      <c r="I9" s="72" t="s">
        <v>30</v>
      </c>
      <c r="J9" s="70">
        <v>3690.0</v>
      </c>
      <c r="K9" s="71"/>
      <c r="L9" s="56" t="s">
        <v>41</v>
      </c>
      <c r="M9" s="69" t="s">
        <v>29</v>
      </c>
      <c r="N9" s="71">
        <v>32063.640000000003</v>
      </c>
      <c r="O9" s="72" t="s">
        <v>30</v>
      </c>
      <c r="P9" s="70">
        <v>4907.7</v>
      </c>
      <c r="Q9" s="71">
        <f>SUM(P8:P9)</f>
        <v>43187.76</v>
      </c>
    </row>
    <row r="10">
      <c r="B10" s="69" t="s">
        <v>3</v>
      </c>
      <c r="C10" s="70">
        <v>18000.0</v>
      </c>
      <c r="E10" s="70"/>
      <c r="G10" s="69" t="s">
        <v>3</v>
      </c>
      <c r="H10" s="71">
        <v>22140.0</v>
      </c>
      <c r="I10" s="72"/>
      <c r="J10" s="70"/>
      <c r="K10" s="71"/>
      <c r="L10" s="71">
        <f>SUM(N8:N10)</f>
        <v>151484.34</v>
      </c>
      <c r="M10" s="69" t="s">
        <v>3</v>
      </c>
      <c r="N10" s="71">
        <v>29446.2</v>
      </c>
      <c r="O10" s="72"/>
      <c r="P10" s="70"/>
    </row>
    <row r="11">
      <c r="B11" s="61" t="s">
        <v>31</v>
      </c>
      <c r="C11" s="73"/>
      <c r="D11" s="61" t="s">
        <v>32</v>
      </c>
      <c r="E11" s="74"/>
      <c r="G11" s="61" t="s">
        <v>31</v>
      </c>
      <c r="H11" s="71"/>
      <c r="I11" s="75" t="s">
        <v>32</v>
      </c>
      <c r="J11" s="70"/>
      <c r="K11" s="71"/>
      <c r="L11" s="56" t="s">
        <v>42</v>
      </c>
      <c r="M11" s="61" t="s">
        <v>31</v>
      </c>
      <c r="N11" s="71"/>
      <c r="O11" s="75" t="s">
        <v>32</v>
      </c>
      <c r="P11" s="70"/>
      <c r="Q11" s="56" t="s">
        <v>43</v>
      </c>
    </row>
    <row r="12">
      <c r="B12" s="69" t="s">
        <v>33</v>
      </c>
      <c r="C12" s="70">
        <v>7500.0</v>
      </c>
      <c r="D12" s="69" t="s">
        <v>34</v>
      </c>
      <c r="E12" s="70">
        <v>20000.0</v>
      </c>
      <c r="G12" s="69" t="s">
        <v>33</v>
      </c>
      <c r="H12" s="71">
        <v>9225.0</v>
      </c>
      <c r="I12" s="72" t="s">
        <v>34</v>
      </c>
      <c r="J12" s="70">
        <v>24600.0</v>
      </c>
      <c r="K12" s="71"/>
      <c r="L12" s="71">
        <f>SUM(N8:N12)</f>
        <v>163753.59</v>
      </c>
      <c r="M12" s="69" t="s">
        <v>33</v>
      </c>
      <c r="N12" s="71">
        <v>12269.25</v>
      </c>
      <c r="O12" s="72" t="s">
        <v>34</v>
      </c>
      <c r="P12" s="70">
        <v>32718.0</v>
      </c>
      <c r="Q12" s="71">
        <f>SUM(P8:P12)</f>
        <v>75905.76</v>
      </c>
    </row>
    <row r="13">
      <c r="B13" s="69"/>
      <c r="C13" s="71"/>
      <c r="D13" s="61" t="s">
        <v>36</v>
      </c>
      <c r="E13" s="74"/>
      <c r="G13" s="69"/>
      <c r="H13" s="71"/>
      <c r="I13" s="75" t="s">
        <v>36</v>
      </c>
      <c r="J13" s="70"/>
      <c r="K13" s="71"/>
      <c r="M13" s="69"/>
      <c r="N13" s="71"/>
      <c r="O13" s="75" t="s">
        <v>36</v>
      </c>
      <c r="P13" s="70"/>
    </row>
    <row r="14">
      <c r="B14" s="69"/>
      <c r="C14" s="71"/>
      <c r="D14" s="69" t="s">
        <v>20</v>
      </c>
      <c r="E14" s="70">
        <v>30000.0</v>
      </c>
      <c r="G14" s="69"/>
      <c r="H14" s="71"/>
      <c r="I14" s="72" t="s">
        <v>20</v>
      </c>
      <c r="J14" s="70">
        <v>36900.0</v>
      </c>
      <c r="K14" s="71"/>
      <c r="M14" s="69"/>
      <c r="N14" s="71"/>
      <c r="O14" s="72" t="s">
        <v>20</v>
      </c>
      <c r="P14" s="70">
        <v>49077.0</v>
      </c>
      <c r="Q14" s="56" t="s">
        <v>44</v>
      </c>
    </row>
    <row r="15">
      <c r="B15" s="69"/>
      <c r="C15" s="70"/>
      <c r="D15" s="56" t="s">
        <v>37</v>
      </c>
      <c r="E15" s="70">
        <v>23700.0</v>
      </c>
      <c r="G15" s="69"/>
      <c r="H15" s="71"/>
      <c r="I15" s="76" t="s">
        <v>37</v>
      </c>
      <c r="J15" s="77">
        <v>29151.0</v>
      </c>
      <c r="K15" s="71"/>
      <c r="M15" s="69"/>
      <c r="N15" s="71"/>
      <c r="O15" s="76" t="s">
        <v>37</v>
      </c>
      <c r="P15" s="77">
        <v>38770.83</v>
      </c>
      <c r="Q15" s="71">
        <f>SUM(P14:P15)</f>
        <v>87847.83</v>
      </c>
    </row>
    <row r="16">
      <c r="B16" s="78" t="s">
        <v>18</v>
      </c>
      <c r="C16" s="79">
        <f>SUM(C7:C15)</f>
        <v>100100</v>
      </c>
      <c r="D16" s="80" t="s">
        <v>18</v>
      </c>
      <c r="E16" s="79">
        <f>SUM(E7:E15)</f>
        <v>100100</v>
      </c>
      <c r="G16" s="78" t="s">
        <v>18</v>
      </c>
      <c r="H16" s="79">
        <f>SUM(H7:H15)</f>
        <v>123123</v>
      </c>
      <c r="I16" s="80" t="s">
        <v>18</v>
      </c>
      <c r="J16" s="79">
        <f>SUM(J7:J15)</f>
        <v>123123</v>
      </c>
      <c r="K16" s="81"/>
      <c r="M16" s="78" t="s">
        <v>18</v>
      </c>
      <c r="N16" s="79">
        <f>SUM(N7:N15)</f>
        <v>163753.59</v>
      </c>
      <c r="O16" s="80" t="s">
        <v>18</v>
      </c>
      <c r="P16" s="79">
        <f>SUM(P7:P15)</f>
        <v>163753.59</v>
      </c>
    </row>
    <row r="20">
      <c r="M20" s="56" t="s">
        <v>45</v>
      </c>
      <c r="N20" s="82">
        <f>Q12/Q15</f>
        <v>0.8640595903</v>
      </c>
      <c r="P20" s="71"/>
    </row>
    <row r="21" ht="15.75" customHeight="1">
      <c r="N21" s="82"/>
    </row>
    <row r="22" ht="15.75" customHeight="1">
      <c r="M22" s="56" t="s">
        <v>46</v>
      </c>
      <c r="N22" s="82">
        <f>L10/Q9</f>
        <v>3.507575758</v>
      </c>
    </row>
    <row r="23" ht="15.75" customHeight="1">
      <c r="N23" s="82"/>
    </row>
    <row r="24" ht="15.75" customHeight="1">
      <c r="M24" s="56" t="s">
        <v>47</v>
      </c>
      <c r="N24" s="82">
        <f>Q12/L12</f>
        <v>0.4635364635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E6"/>
    <mergeCell ref="G6:J6"/>
    <mergeCell ref="M6:P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6" width="10.71"/>
  </cols>
  <sheetData>
    <row r="1">
      <c r="A1" s="63" t="s">
        <v>48</v>
      </c>
      <c r="B1" s="83"/>
      <c r="C1" s="83"/>
    </row>
    <row r="2">
      <c r="A2" s="84" t="s">
        <v>20</v>
      </c>
      <c r="B2" s="85">
        <v>5000.0</v>
      </c>
      <c r="C2" s="84"/>
    </row>
    <row r="3">
      <c r="A3" s="84" t="s">
        <v>49</v>
      </c>
      <c r="B3" s="84">
        <v>10.0</v>
      </c>
      <c r="C3" s="84" t="s">
        <v>50</v>
      </c>
    </row>
    <row r="4">
      <c r="A4" s="84" t="s">
        <v>51</v>
      </c>
      <c r="B4" s="86">
        <v>0.15</v>
      </c>
      <c r="C4" s="84" t="s">
        <v>52</v>
      </c>
    </row>
    <row r="5">
      <c r="A5" s="84"/>
      <c r="B5" s="84"/>
      <c r="C5" s="84"/>
    </row>
    <row r="6">
      <c r="A6" s="84" t="s">
        <v>53</v>
      </c>
      <c r="B6" s="85">
        <f>B2*(1+B4)^B3</f>
        <v>20227.78868</v>
      </c>
      <c r="C6" s="84"/>
    </row>
    <row r="7">
      <c r="A7" s="84"/>
      <c r="B7" s="85"/>
      <c r="C7" s="84"/>
    </row>
    <row r="8">
      <c r="A8" s="84"/>
      <c r="B8" s="85"/>
      <c r="C8" s="84"/>
    </row>
    <row r="9">
      <c r="A9" s="83"/>
      <c r="B9" s="83"/>
      <c r="C9" s="83"/>
    </row>
    <row r="10">
      <c r="A10" s="63" t="s">
        <v>54</v>
      </c>
      <c r="B10" s="83"/>
      <c r="C10" s="83"/>
    </row>
    <row r="11">
      <c r="A11" s="84" t="s">
        <v>20</v>
      </c>
      <c r="B11" s="85">
        <v>5000.0</v>
      </c>
      <c r="C11" s="84"/>
    </row>
    <row r="12">
      <c r="A12" s="84" t="s">
        <v>55</v>
      </c>
      <c r="B12" s="84">
        <v>10.0</v>
      </c>
      <c r="C12" s="84" t="s">
        <v>50</v>
      </c>
    </row>
    <row r="13">
      <c r="A13" s="84" t="s">
        <v>56</v>
      </c>
      <c r="B13" s="86">
        <v>0.03</v>
      </c>
      <c r="C13" s="84" t="s">
        <v>52</v>
      </c>
    </row>
    <row r="14">
      <c r="A14" s="83"/>
      <c r="B14" s="83"/>
      <c r="C14" s="83"/>
    </row>
    <row r="15">
      <c r="A15" s="83" t="s">
        <v>57</v>
      </c>
      <c r="B15" s="71">
        <f>B11/(1+B13)^B12</f>
        <v>3720.469574</v>
      </c>
      <c r="C15" s="8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7.0"/>
    <col customWidth="1" min="3" max="6" width="11.43"/>
    <col customWidth="1" min="7" max="26" width="10.71"/>
  </cols>
  <sheetData>
    <row r="1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>
      <c r="A4" s="63" t="s">
        <v>58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84" t="s">
        <v>20</v>
      </c>
      <c r="B5" s="85">
        <v>1200.0</v>
      </c>
      <c r="C5" s="84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84" t="s">
        <v>49</v>
      </c>
      <c r="B6" s="84">
        <v>30.0</v>
      </c>
      <c r="C6" s="84" t="s">
        <v>50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84" t="s">
        <v>51</v>
      </c>
      <c r="B7" s="86">
        <v>0.15</v>
      </c>
      <c r="C7" s="84" t="s">
        <v>52</v>
      </c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84"/>
      <c r="B8" s="84"/>
      <c r="C8" s="84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>
      <c r="A9" s="84" t="s">
        <v>53</v>
      </c>
      <c r="B9" s="85">
        <f>B5*(1+B7)^B6</f>
        <v>79454.12635</v>
      </c>
      <c r="C9" s="84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>
      <c r="A10" s="84"/>
      <c r="B10" s="85"/>
      <c r="C10" s="84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>
      <c r="A11" s="84"/>
      <c r="B11" s="85"/>
      <c r="C11" s="84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>
      <c r="A13" s="63" t="s">
        <v>59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>
      <c r="A14" s="84" t="s">
        <v>20</v>
      </c>
      <c r="B14" s="85">
        <v>20000.0</v>
      </c>
      <c r="C14" s="84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>
      <c r="A15" s="84" t="s">
        <v>55</v>
      </c>
      <c r="B15" s="84">
        <v>5.0</v>
      </c>
      <c r="C15" s="84" t="s">
        <v>50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>
      <c r="A16" s="84" t="s">
        <v>56</v>
      </c>
      <c r="B16" s="86">
        <v>0.03</v>
      </c>
      <c r="C16" s="84" t="s">
        <v>52</v>
      </c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>
      <c r="A18" s="83" t="s">
        <v>57</v>
      </c>
      <c r="B18" s="71">
        <f>B14/(1+B16)^B15</f>
        <v>17252.17569</v>
      </c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ht="15.75" customHeight="1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ht="15.75" customHeight="1">
      <c r="A22" s="63" t="s">
        <v>60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ht="15.75" customHeight="1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ht="15.75" customHeight="1">
      <c r="A24" s="84" t="s">
        <v>20</v>
      </c>
      <c r="B24" s="85">
        <v>7500.0</v>
      </c>
      <c r="C24" s="84"/>
      <c r="D24" s="84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ht="15.75" customHeight="1">
      <c r="A25" s="84" t="s">
        <v>49</v>
      </c>
      <c r="B25" s="84">
        <v>20.0</v>
      </c>
      <c r="C25" s="84" t="s">
        <v>50</v>
      </c>
      <c r="D25" s="84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ht="15.75" customHeight="1">
      <c r="A26" s="84" t="s">
        <v>51</v>
      </c>
      <c r="B26" s="86">
        <v>0.05</v>
      </c>
      <c r="C26" s="84"/>
      <c r="D26" s="84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ht="15.75" customHeight="1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ht="15.75" customHeight="1">
      <c r="A28" s="83" t="s">
        <v>53</v>
      </c>
      <c r="B28" s="71">
        <f>B24*(1+B26)^B25</f>
        <v>19899.73279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ht="15.75" customHeight="1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ht="15.75" customHeight="1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ht="15.75" customHeight="1">
      <c r="A31" s="84" t="s">
        <v>20</v>
      </c>
      <c r="B31" s="85">
        <v>20000.0</v>
      </c>
      <c r="C31" s="84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ht="15.75" customHeight="1">
      <c r="A32" s="84" t="s">
        <v>55</v>
      </c>
      <c r="B32" s="84">
        <v>20.0</v>
      </c>
      <c r="C32" s="84" t="s">
        <v>50</v>
      </c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ht="15.75" customHeight="1">
      <c r="A33" s="84" t="s">
        <v>61</v>
      </c>
      <c r="B33" s="86">
        <v>0.05</v>
      </c>
      <c r="C33" s="84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ht="15.75" customHeight="1">
      <c r="A34" s="84"/>
      <c r="B34" s="84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ht="15.75" customHeight="1">
      <c r="A35" s="83" t="s">
        <v>57</v>
      </c>
      <c r="B35" s="71">
        <f>B31/(1+B33)^B32</f>
        <v>7537.789657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ht="15.75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ht="15.75" customHeight="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ht="15.75" customHeight="1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ht="15.75" customHeight="1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ht="15.75" customHeight="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ht="15.75" customHeight="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ht="15.75" customHeight="1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ht="15.75" customHeight="1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ht="15.75" customHeight="1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ht="15.75" customHeight="1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ht="15.75" customHeight="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ht="15.75" customHeight="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ht="15.7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ht="15.75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ht="15.75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ht="15.75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ht="15.75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ht="15.7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ht="15.7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ht="15.7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ht="15.7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ht="15.7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ht="15.7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ht="15.7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ht="15.7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ht="15.75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ht="15.7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ht="15.7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ht="15.7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ht="15.75" customHeight="1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ht="15.7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ht="15.75" customHeight="1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ht="15.75" customHeight="1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ht="15.75" customHeight="1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ht="15.75" customHeight="1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ht="15.75" customHeight="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ht="15.75" customHeight="1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ht="15.75" customHeight="1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ht="15.75" customHeight="1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ht="15.7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ht="15.75" customHeight="1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ht="15.75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ht="15.75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ht="15.75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ht="15.75" customHeight="1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ht="15.7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ht="15.7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ht="15.75" customHeight="1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ht="15.75" customHeight="1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ht="15.75" customHeight="1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ht="15.75" customHeight="1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ht="15.75" customHeight="1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ht="15.75" customHeight="1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ht="15.75" customHeight="1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ht="15.75" customHeight="1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ht="15.75" customHeight="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ht="15.75" customHeight="1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ht="15.75" customHeight="1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ht="15.75" customHeight="1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ht="15.75" customHeight="1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ht="15.75" customHeight="1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ht="15.75" customHeight="1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ht="15.75" customHeight="1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ht="15.75" customHeight="1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ht="15.75" customHeight="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ht="15.75" customHeight="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ht="15.75" customHeight="1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ht="15.75" customHeight="1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ht="15.75" customHeight="1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ht="15.75" customHeight="1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ht="15.75" customHeight="1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ht="15.75" customHeight="1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ht="15.75" customHeight="1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ht="15.75" customHeight="1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ht="15.75" customHeight="1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ht="15.75" customHeight="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ht="15.75" customHeight="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ht="15.75" customHeight="1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ht="15.75" customHeight="1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ht="15.75" customHeight="1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ht="15.75" customHeight="1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ht="15.75" customHeight="1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ht="15.75" customHeight="1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ht="15.75" customHeight="1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ht="15.75" customHeight="1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ht="15.75" customHeight="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ht="15.75" customHeight="1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ht="15.75" customHeight="1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ht="15.75" customHeight="1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ht="15.75" customHeight="1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ht="15.75" customHeight="1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ht="15.75" customHeight="1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ht="15.75" customHeight="1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ht="15.75" customHeight="1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ht="15.75" customHeight="1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ht="15.7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ht="15.7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ht="15.7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ht="15.7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ht="15.7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ht="15.7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ht="15.7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ht="15.7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ht="15.7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ht="15.7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ht="15.7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ht="15.7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ht="15.7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ht="15.7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ht="15.7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ht="15.7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ht="15.7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ht="15.7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ht="15.7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ht="15.7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ht="15.7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ht="15.7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ht="15.7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ht="15.7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ht="15.7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ht="15.7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ht="15.7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ht="15.7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ht="15.7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ht="15.7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ht="15.7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ht="15.7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ht="15.7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ht="15.7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ht="15.7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ht="15.7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ht="15.7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ht="15.7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ht="15.7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ht="15.7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ht="15.7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ht="15.7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ht="15.7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ht="15.7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ht="15.7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ht="15.7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ht="15.7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ht="15.7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ht="15.7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ht="15.7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ht="15.7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ht="15.7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ht="15.7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ht="15.7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ht="15.7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ht="15.7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ht="15.7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ht="15.7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ht="15.7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ht="15.7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ht="15.7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ht="15.7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ht="15.7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ht="15.7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ht="15.7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ht="15.7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ht="15.7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ht="15.7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ht="15.7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ht="15.7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ht="15.7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ht="15.7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ht="15.7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ht="15.7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ht="15.7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ht="15.7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ht="15.7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ht="15.7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ht="15.7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ht="15.7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ht="15.7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ht="15.7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ht="15.7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ht="15.7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ht="15.7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ht="15.7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ht="15.7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ht="15.7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ht="15.7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ht="15.7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ht="15.7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ht="15.7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ht="15.7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ht="15.7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ht="15.7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ht="15.7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ht="15.7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5.7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ht="15.7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ht="15.7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ht="15.7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ht="15.7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ht="15.7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ht="15.7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ht="15.7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ht="15.7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ht="15.7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5.7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ht="15.7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ht="15.7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ht="15.7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ht="15.7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ht="15.7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ht="15.7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ht="15.7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ht="15.7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ht="15.7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ht="15.7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ht="15.7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ht="15.7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ht="15.7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ht="15.7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ht="15.7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ht="15.7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ht="15.7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ht="15.7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ht="15.7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ht="15.7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ht="15.7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ht="15.7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ht="15.7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ht="15.7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ht="15.7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ht="15.7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ht="15.7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ht="15.7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ht="15.7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ht="15.7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ht="15.7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ht="15.7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ht="15.7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ht="15.7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ht="15.7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ht="15.7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ht="15.7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ht="15.7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ht="15.7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ht="15.7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ht="15.7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ht="15.7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ht="15.7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ht="15.7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ht="15.7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ht="15.7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ht="15.7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ht="15.7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ht="15.7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ht="15.7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ht="15.7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ht="15.7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ht="15.7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ht="15.7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ht="15.7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ht="15.7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ht="15.7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ht="15.7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ht="15.7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ht="15.7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ht="15.7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ht="15.7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ht="15.7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ht="15.7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ht="15.7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ht="15.7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ht="15.7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ht="15.7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ht="15.7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ht="15.7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ht="15.7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ht="15.7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ht="15.7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ht="15.7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ht="15.7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ht="15.7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ht="15.7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ht="15.7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ht="15.7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ht="15.7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ht="15.7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ht="15.7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ht="15.7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ht="15.7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ht="15.7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ht="15.7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ht="15.7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ht="15.7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ht="15.7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ht="15.7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ht="15.7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ht="15.7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ht="15.7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ht="15.7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ht="15.7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ht="15.7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ht="15.7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ht="15.7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ht="15.7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ht="15.7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ht="15.7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ht="15.7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ht="15.7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ht="15.7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ht="15.7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ht="15.7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ht="15.7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ht="15.7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ht="15.7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ht="15.7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ht="15.7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ht="15.7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ht="15.7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ht="15.7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ht="15.7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ht="15.7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ht="15.7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ht="15.7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ht="15.7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ht="15.7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ht="15.7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ht="15.7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ht="15.7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ht="15.7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ht="15.7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ht="15.7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ht="15.7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ht="15.7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ht="15.7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ht="15.7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ht="15.7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ht="15.75" customHeight="1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ht="15.75" customHeight="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ht="15.75" customHeight="1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ht="15.75" customHeight="1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ht="15.75" customHeight="1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ht="15.75" customHeight="1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ht="15.75" customHeight="1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ht="15.75" customHeight="1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ht="15.75" customHeight="1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ht="15.75" customHeight="1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ht="15.75" customHeight="1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ht="15.75" customHeight="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ht="15.75" customHeight="1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ht="15.75" customHeight="1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ht="15.75" customHeight="1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ht="15.75" customHeight="1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ht="15.75" customHeight="1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ht="15.75" customHeight="1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ht="15.75" customHeight="1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ht="15.75" customHeight="1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ht="15.75" customHeight="1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ht="15.75" customHeight="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ht="15.75" customHeight="1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ht="15.75" customHeight="1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ht="15.75" customHeight="1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ht="15.75" customHeight="1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ht="15.75" customHeight="1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ht="15.75" customHeight="1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ht="15.75" customHeight="1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ht="15.75" customHeight="1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ht="15.75" customHeight="1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ht="15.75" customHeight="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ht="15.75" customHeight="1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ht="15.75" customHeight="1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ht="15.75" customHeight="1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ht="15.75" customHeight="1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ht="15.75" customHeight="1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ht="15.75" customHeight="1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ht="15.75" customHeight="1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ht="15.75" customHeight="1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ht="15.75" customHeight="1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ht="15.75" customHeight="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ht="15.75" customHeight="1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ht="15.75" customHeight="1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ht="15.75" customHeight="1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ht="15.75" customHeight="1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ht="15.75" customHeight="1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ht="15.75" customHeight="1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ht="15.75" customHeight="1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ht="15.75" customHeight="1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ht="15.75" customHeight="1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ht="15.75" customHeight="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ht="15.75" customHeight="1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ht="15.75" customHeight="1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ht="15.75" customHeight="1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ht="15.75" customHeight="1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ht="15.75" customHeight="1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ht="15.75" customHeight="1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ht="15.75" customHeight="1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ht="15.75" customHeight="1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ht="15.75" customHeight="1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ht="15.75" customHeight="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ht="15.75" customHeight="1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ht="15.75" customHeight="1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ht="15.75" customHeight="1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ht="15.75" customHeight="1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ht="15.75" customHeight="1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ht="15.75" customHeight="1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ht="15.75" customHeight="1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ht="15.75" customHeight="1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ht="15.75" customHeight="1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ht="15.75" customHeight="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ht="15.75" customHeight="1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ht="15.75" customHeight="1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ht="15.75" customHeight="1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ht="15.75" customHeight="1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ht="15.75" customHeight="1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ht="15.75" customHeight="1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ht="15.75" customHeight="1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ht="15.75" customHeight="1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ht="15.75" customHeight="1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ht="15.75" customHeight="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ht="15.75" customHeight="1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ht="15.75" customHeight="1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ht="15.75" customHeight="1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ht="15.75" customHeight="1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ht="15.75" customHeight="1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ht="15.75" customHeight="1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ht="15.75" customHeight="1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ht="15.75" customHeight="1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ht="15.75" customHeight="1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ht="15.75" customHeight="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ht="15.75" customHeight="1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ht="15.75" customHeight="1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ht="15.75" customHeight="1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ht="15.75" customHeight="1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ht="15.75" customHeight="1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ht="15.75" customHeight="1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ht="15.75" customHeight="1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ht="15.75" customHeight="1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ht="15.75" customHeight="1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ht="15.75" customHeight="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ht="15.75" customHeight="1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ht="15.75" customHeight="1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ht="15.75" customHeight="1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ht="15.75" customHeight="1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ht="15.75" customHeight="1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ht="15.75" customHeight="1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ht="15.75" customHeight="1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ht="15.75" customHeight="1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ht="15.75" customHeight="1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ht="15.75" customHeight="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ht="15.75" customHeight="1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ht="15.75" customHeight="1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ht="15.75" customHeight="1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ht="15.75" customHeight="1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ht="15.75" customHeight="1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ht="15.75" customHeight="1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ht="15.75" customHeight="1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ht="15.75" customHeight="1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ht="15.75" customHeight="1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ht="15.75" customHeight="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ht="15.75" customHeight="1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ht="15.75" customHeight="1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ht="15.75" customHeight="1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ht="15.7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ht="15.7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ht="15.7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ht="15.7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ht="15.7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ht="15.7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ht="15.7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ht="15.7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ht="15.7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ht="15.7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ht="15.7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ht="15.7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ht="15.7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ht="15.7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ht="15.7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ht="15.7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ht="15.7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ht="15.7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ht="15.7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ht="15.7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ht="15.7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ht="15.7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ht="15.7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ht="15.7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ht="15.7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ht="15.7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ht="15.7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ht="15.7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ht="15.7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ht="15.7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ht="15.7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ht="15.7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ht="15.7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ht="15.7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ht="15.7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ht="15.7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ht="15.7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ht="15.7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ht="15.7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ht="15.7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ht="15.7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ht="15.7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ht="15.7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ht="15.7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ht="15.7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ht="15.7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ht="15.7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ht="15.7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ht="15.7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ht="15.7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ht="15.7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ht="15.7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ht="15.7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ht="15.7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ht="15.7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ht="15.7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ht="15.7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ht="15.7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ht="15.7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ht="15.7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ht="15.7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ht="15.7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ht="15.7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ht="15.7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ht="15.7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ht="15.7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ht="15.7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ht="15.7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ht="15.7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ht="15.7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ht="15.7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ht="15.7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ht="15.7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ht="15.7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ht="15.7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ht="15.7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ht="15.7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ht="15.7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ht="15.7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ht="15.7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ht="15.7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ht="15.7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ht="15.7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ht="15.7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ht="15.7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ht="15.7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ht="15.7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ht="15.7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ht="15.7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ht="15.7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ht="15.7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ht="15.7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ht="15.7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ht="15.7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ht="15.7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ht="15.7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ht="15.7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ht="15.7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ht="15.7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ht="15.7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ht="15.7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ht="15.7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ht="15.7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ht="15.7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ht="15.7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ht="15.7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ht="15.7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ht="15.7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ht="15.7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ht="15.7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ht="15.7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ht="15.7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ht="15.7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ht="15.7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ht="15.7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ht="15.7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ht="15.7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ht="15.7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ht="15.7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ht="15.7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ht="15.7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ht="15.7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ht="15.7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ht="15.7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ht="15.7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ht="15.7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ht="15.7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ht="15.7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ht="15.7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ht="15.7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ht="15.7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ht="15.7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ht="15.7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ht="15.7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ht="15.7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ht="15.7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ht="15.7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ht="15.7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ht="15.7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ht="15.7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ht="15.7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ht="15.7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ht="15.7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ht="15.7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ht="15.7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ht="15.7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ht="15.7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ht="15.7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ht="15.7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ht="15.7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ht="15.7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ht="15.7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ht="15.7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ht="15.7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ht="15.7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ht="15.7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ht="15.7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ht="15.7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ht="15.7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ht="15.7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ht="15.7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ht="15.7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ht="15.7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ht="15.7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ht="15.7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ht="15.7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ht="15.7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ht="15.7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ht="15.7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ht="15.7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ht="15.7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ht="15.7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ht="15.7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ht="15.7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ht="15.7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ht="15.7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ht="15.7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ht="15.7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ht="15.7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ht="15.7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ht="15.7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ht="15.7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ht="15.7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ht="15.7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ht="15.7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ht="15.7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ht="15.7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ht="15.7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ht="15.7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ht="15.7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ht="15.7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ht="15.7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ht="15.7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ht="15.7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ht="15.7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ht="15.7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ht="15.7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ht="15.7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ht="15.7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ht="15.7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ht="15.7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ht="15.7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ht="15.7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ht="15.7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ht="15.7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ht="15.7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ht="15.7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ht="15.7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ht="15.7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ht="15.7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ht="15.7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ht="15.7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ht="15.7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ht="15.7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ht="15.7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ht="15.7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ht="15.7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ht="15.7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ht="15.7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ht="15.7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ht="15.7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ht="15.7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ht="15.7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ht="15.7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ht="15.7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ht="15.7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ht="15.7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ht="15.7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ht="15.7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ht="15.7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ht="15.7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ht="15.7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ht="15.7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ht="15.7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ht="15.7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ht="15.7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ht="15.7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ht="15.7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ht="15.7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ht="15.7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ht="15.7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ht="15.7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ht="15.7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ht="15.7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ht="15.7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ht="15.7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ht="15.7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ht="15.7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ht="15.7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ht="15.7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ht="15.7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ht="15.7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ht="15.7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ht="15.7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ht="15.7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ht="15.7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ht="15.7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ht="15.7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ht="15.7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ht="15.7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ht="15.7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ht="15.7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ht="15.7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ht="15.7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ht="15.7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ht="15.7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ht="15.7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ht="15.7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ht="15.7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ht="15.7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ht="15.7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ht="15.7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ht="15.7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ht="15.7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ht="15.7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ht="15.7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ht="15.7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ht="15.7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ht="15.7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ht="15.7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ht="15.7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ht="15.7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ht="15.7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ht="15.7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ht="15.7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ht="15.7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ht="15.7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ht="15.7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ht="15.7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ht="15.7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ht="15.7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ht="15.7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ht="15.7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ht="15.7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ht="15.7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ht="15.7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ht="15.7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ht="15.7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ht="15.7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ht="15.7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ht="15.7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ht="15.7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ht="15.7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ht="15.7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ht="15.7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ht="15.7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ht="15.7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ht="15.7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ht="15.7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ht="15.7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ht="15.7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ht="15.7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ht="15.7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ht="15.7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ht="15.7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ht="15.7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ht="15.7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ht="15.7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ht="15.7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ht="15.7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ht="15.7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ht="15.7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ht="15.7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ht="15.7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ht="15.7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ht="15.7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ht="15.7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ht="15.7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ht="15.7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ht="15.7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ht="15.7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ht="15.7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ht="15.7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ht="15.7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ht="15.7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ht="15.7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ht="15.7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ht="15.7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ht="15.7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ht="15.7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ht="15.7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ht="15.7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ht="15.7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ht="15.7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ht="15.7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ht="15.7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ht="15.7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ht="15.7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ht="15.7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ht="15.7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ht="15.7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ht="15.7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ht="15.7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ht="15.7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ht="15.7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ht="15.7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ht="15.7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ht="15.7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ht="15.7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ht="15.7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ht="15.7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ht="15.7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ht="15.7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ht="15.7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ht="15.7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ht="15.7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ht="15.7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ht="15.7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ht="15.7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ht="15.7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ht="15.7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ht="15.7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ht="15.7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ht="15.7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ht="15.7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ht="15.7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ht="15.7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ht="15.7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ht="15.7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ht="15.7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ht="15.7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ht="15.7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ht="15.7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ht="15.7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ht="15.7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ht="15.7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ht="15.7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ht="15.7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ht="15.7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ht="15.7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ht="15.7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ht="15.7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ht="15.7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ht="15.7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ht="15.7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ht="15.7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ht="15.7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ht="15.7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ht="15.7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ht="15.7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ht="15.7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ht="15.7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ht="15.7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ht="15.7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ht="15.7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ht="15.7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ht="15.7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ht="15.7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ht="15.7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ht="15.7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ht="15.7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ht="15.7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ht="15.7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ht="15.7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ht="15.7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ht="15.7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ht="15.7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ht="15.7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ht="15.7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ht="15.7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ht="15.7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ht="15.7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ht="15.7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ht="15.7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ht="15.7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ht="15.7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ht="15.7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ht="15.7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ht="15.7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ht="15.7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ht="15.7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ht="15.7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ht="15.7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ht="15.7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ht="15.7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ht="15.7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ht="15.7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ht="15.7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ht="15.7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ht="15.7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ht="15.7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ht="15.7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ht="15.7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ht="15.7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ht="15.7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ht="15.7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ht="15.7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ht="15.7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ht="15.7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ht="15.7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ht="15.7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ht="15.7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ht="15.7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ht="15.7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ht="15.7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ht="15.7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ht="15.7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ht="15.7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ht="15.7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ht="15.7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ht="15.7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ht="15.7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ht="15.7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ht="15.7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ht="15.7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ht="15.7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ht="15.7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ht="15.7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ht="15.7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ht="15.7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ht="15.7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ht="15.7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ht="15.7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ht="15.7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ht="15.7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ht="15.7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ht="15.7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ht="15.7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ht="15.7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ht="15.7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ht="15.7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ht="15.7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ht="15.7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ht="15.7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ht="15.7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ht="15.7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ht="15.7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ht="15.7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ht="15.7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ht="15.7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ht="15.7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ht="15.7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ht="15.7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ht="15.7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ht="15.7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ht="15.7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ht="15.7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ht="15.7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ht="15.7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ht="15.7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ht="15.75" customHeight="1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ht="15.75" customHeight="1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ht="15.75" customHeight="1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ht="15.75" customHeight="1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ht="15.75" customHeight="1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ht="15.75" customHeight="1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29"/>
    <col customWidth="1" min="3" max="3" width="11.57"/>
    <col customWidth="1" min="4" max="6" width="14.14"/>
    <col customWidth="1" min="7" max="7" width="10.71"/>
    <col customWidth="1" min="8" max="8" width="11.57"/>
    <col customWidth="1" min="9" max="26" width="10.71"/>
  </cols>
  <sheetData>
    <row r="2">
      <c r="B2" s="87" t="s">
        <v>62</v>
      </c>
      <c r="C2" s="22"/>
      <c r="D2" s="22"/>
      <c r="E2" s="22"/>
      <c r="F2" s="23"/>
    </row>
    <row r="4">
      <c r="B4" s="56" t="s">
        <v>63</v>
      </c>
      <c r="C4" s="56">
        <v>0.0</v>
      </c>
      <c r="D4" s="56">
        <v>1.0</v>
      </c>
      <c r="E4" s="56">
        <v>2.0</v>
      </c>
      <c r="F4" s="56">
        <v>3.0</v>
      </c>
    </row>
    <row r="5">
      <c r="B5" s="56" t="s">
        <v>64</v>
      </c>
      <c r="D5" s="71">
        <v>2300000.0</v>
      </c>
      <c r="E5" s="71">
        <v>2800000.0</v>
      </c>
      <c r="F5" s="71">
        <v>3300000.0</v>
      </c>
    </row>
    <row r="6">
      <c r="B6" s="56" t="s">
        <v>61</v>
      </c>
      <c r="C6" s="88">
        <v>0.01</v>
      </c>
    </row>
    <row r="7">
      <c r="B7" s="56" t="s">
        <v>65</v>
      </c>
      <c r="C7" s="88"/>
      <c r="D7" s="71"/>
      <c r="E7" s="71"/>
      <c r="F7" s="71"/>
    </row>
    <row r="8">
      <c r="B8" s="56" t="s">
        <v>66</v>
      </c>
      <c r="C8" s="71"/>
      <c r="D8" s="71"/>
      <c r="E8" s="71"/>
      <c r="F8" s="71"/>
    </row>
    <row r="9">
      <c r="C9" s="88"/>
      <c r="D9" s="71"/>
      <c r="E9" s="71"/>
      <c r="F9" s="71"/>
    </row>
    <row r="12">
      <c r="C12" s="56">
        <v>0.0</v>
      </c>
      <c r="D12" s="56">
        <v>1.0</v>
      </c>
      <c r="E12" s="56">
        <v>2.0</v>
      </c>
      <c r="F12" s="56">
        <v>3.0</v>
      </c>
      <c r="G12" s="56">
        <v>4.0</v>
      </c>
      <c r="H12" s="56">
        <v>5.0</v>
      </c>
    </row>
    <row r="13">
      <c r="B13" s="56" t="s">
        <v>67</v>
      </c>
      <c r="C13" s="71">
        <v>23500.0</v>
      </c>
      <c r="D13" s="71"/>
      <c r="E13" s="71"/>
      <c r="F13" s="71"/>
      <c r="G13" s="71"/>
      <c r="H13" s="71"/>
    </row>
    <row r="14">
      <c r="C14" s="71"/>
      <c r="D14" s="71"/>
      <c r="E14" s="71"/>
      <c r="F14" s="71"/>
      <c r="G14" s="71"/>
      <c r="H14" s="71"/>
    </row>
    <row r="15">
      <c r="B15" s="56" t="s">
        <v>64</v>
      </c>
      <c r="C15" s="71"/>
      <c r="D15" s="71">
        <v>3000.0</v>
      </c>
      <c r="E15" s="71">
        <v>3000.0</v>
      </c>
      <c r="F15" s="71">
        <v>4500.0</v>
      </c>
      <c r="G15" s="71">
        <v>90000.0</v>
      </c>
      <c r="H15" s="71">
        <v>200.0</v>
      </c>
    </row>
    <row r="16">
      <c r="B16" s="56" t="s">
        <v>68</v>
      </c>
      <c r="C16" s="89">
        <v>0.045</v>
      </c>
    </row>
    <row r="17">
      <c r="B17" s="56" t="s">
        <v>65</v>
      </c>
      <c r="D17" s="71"/>
      <c r="E17" s="71"/>
      <c r="F17" s="71"/>
      <c r="G17" s="71"/>
      <c r="H17" s="71"/>
    </row>
    <row r="18">
      <c r="D18" s="71"/>
      <c r="E18" s="71"/>
      <c r="F18" s="71"/>
      <c r="G18" s="71"/>
      <c r="H18" s="71"/>
    </row>
    <row r="19">
      <c r="B19" s="56" t="s">
        <v>66</v>
      </c>
      <c r="C19" s="71">
        <f>SUM(D17:H17)</f>
        <v>0</v>
      </c>
    </row>
    <row r="20">
      <c r="B20" s="56" t="s">
        <v>69</v>
      </c>
      <c r="C20" s="90"/>
    </row>
    <row r="21" ht="15.75" customHeight="1"/>
    <row r="22" ht="15.75" customHeight="1"/>
    <row r="23" ht="15.75" customHeight="1"/>
    <row r="24" ht="15.75" customHeight="1"/>
    <row r="25" ht="15.75" customHeight="1">
      <c r="C25" s="56">
        <v>0.0</v>
      </c>
      <c r="D25" s="56">
        <v>1.0</v>
      </c>
      <c r="E25" s="56">
        <v>2.0</v>
      </c>
      <c r="F25" s="56">
        <v>3.0</v>
      </c>
      <c r="G25" s="56">
        <v>4.0</v>
      </c>
      <c r="H25" s="56">
        <v>5.0</v>
      </c>
    </row>
    <row r="26" ht="15.75" customHeight="1">
      <c r="B26" s="56" t="s">
        <v>67</v>
      </c>
      <c r="C26" s="71">
        <v>15000.0</v>
      </c>
      <c r="D26" s="71"/>
      <c r="E26" s="71"/>
      <c r="F26" s="71"/>
      <c r="G26" s="71"/>
      <c r="H26" s="71"/>
    </row>
    <row r="27" ht="15.75" customHeight="1">
      <c r="B27" s="56" t="s">
        <v>70</v>
      </c>
      <c r="C27" s="71"/>
      <c r="D27" s="71"/>
      <c r="E27" s="71"/>
      <c r="F27" s="71"/>
      <c r="G27" s="71"/>
      <c r="H27" s="71">
        <v>15000.0</v>
      </c>
    </row>
    <row r="28" ht="15.75" customHeight="1">
      <c r="B28" s="56" t="s">
        <v>71</v>
      </c>
      <c r="C28" s="71"/>
      <c r="D28" s="71">
        <f t="shared" ref="D28:H28" si="1">$K$25*0.015</f>
        <v>0</v>
      </c>
      <c r="E28" s="71">
        <f t="shared" si="1"/>
        <v>0</v>
      </c>
      <c r="F28" s="71">
        <f t="shared" si="1"/>
        <v>0</v>
      </c>
      <c r="G28" s="71">
        <f t="shared" si="1"/>
        <v>0</v>
      </c>
      <c r="H28" s="71">
        <f t="shared" si="1"/>
        <v>0</v>
      </c>
    </row>
    <row r="29" ht="15.75" customHeight="1">
      <c r="B29" s="56" t="s">
        <v>68</v>
      </c>
      <c r="C29" s="89">
        <v>0.023</v>
      </c>
    </row>
    <row r="30" ht="15.75" customHeight="1">
      <c r="B30" s="56" t="s">
        <v>65</v>
      </c>
      <c r="D30" s="71"/>
      <c r="E30" s="71"/>
      <c r="F30" s="71"/>
      <c r="G30" s="71"/>
      <c r="H30" s="71"/>
    </row>
    <row r="31" ht="15.75" customHeight="1">
      <c r="D31" s="71"/>
      <c r="E31" s="71"/>
      <c r="F31" s="71"/>
      <c r="G31" s="71"/>
      <c r="H31" s="71"/>
    </row>
    <row r="32" ht="15.75" customHeight="1">
      <c r="B32" s="56" t="s">
        <v>72</v>
      </c>
      <c r="C32" s="71"/>
      <c r="D32" s="71"/>
      <c r="E32" s="71"/>
      <c r="F32" s="71"/>
      <c r="G32" s="71"/>
      <c r="H32" s="71"/>
    </row>
    <row r="33" ht="15.75" customHeight="1">
      <c r="B33" s="56" t="s">
        <v>73</v>
      </c>
      <c r="C33" s="71"/>
    </row>
    <row r="34" ht="15.75" customHeight="1">
      <c r="B34" s="56" t="s">
        <v>69</v>
      </c>
      <c r="C34" s="90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F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5" width="14.14"/>
    <col customWidth="1" min="6" max="9" width="10.71"/>
    <col customWidth="1" min="10" max="10" width="17.29"/>
    <col customWidth="1" min="11" max="11" width="14.14"/>
    <col customWidth="1" min="12" max="12" width="20.86"/>
    <col customWidth="1" min="13" max="14" width="14.14"/>
    <col customWidth="1" min="15" max="26" width="10.71"/>
  </cols>
  <sheetData>
    <row r="1">
      <c r="B1" s="37" t="s">
        <v>22</v>
      </c>
      <c r="C1" s="38"/>
      <c r="D1" s="39"/>
      <c r="J1" s="91"/>
      <c r="K1" s="91"/>
      <c r="L1" s="91"/>
      <c r="M1" s="91"/>
      <c r="N1" s="91"/>
    </row>
    <row r="2">
      <c r="A2" s="84"/>
      <c r="B2" s="92"/>
      <c r="C2" s="93"/>
      <c r="D2" s="94"/>
      <c r="E2" s="84"/>
      <c r="J2" s="83"/>
      <c r="K2" s="83"/>
      <c r="L2" s="83"/>
      <c r="M2" s="83"/>
      <c r="N2" s="83"/>
      <c r="O2" s="83"/>
    </row>
    <row r="3">
      <c r="A3" s="84"/>
      <c r="B3" s="43">
        <v>2021.0</v>
      </c>
      <c r="C3" s="43">
        <v>2022.0</v>
      </c>
      <c r="D3" s="43">
        <v>2023.0</v>
      </c>
      <c r="E3" s="84"/>
      <c r="J3" s="83"/>
      <c r="K3" s="83"/>
      <c r="L3" s="83"/>
      <c r="M3" s="83"/>
      <c r="N3" s="83"/>
      <c r="O3" s="83"/>
    </row>
    <row r="4">
      <c r="A4" s="84" t="s">
        <v>74</v>
      </c>
      <c r="B4" s="85">
        <f>'Balance General en el tiempo R'!E15</f>
        <v>23700</v>
      </c>
      <c r="C4" s="85">
        <f>'Balance General en el tiempo R'!J15</f>
        <v>29151</v>
      </c>
      <c r="D4" s="85">
        <f>'Balance General en el tiempo R'!P15</f>
        <v>38770.83</v>
      </c>
      <c r="E4" s="84"/>
      <c r="L4" s="71"/>
      <c r="M4" s="71"/>
      <c r="N4" s="71"/>
    </row>
    <row r="5">
      <c r="A5" s="84" t="s">
        <v>75</v>
      </c>
      <c r="B5" s="84"/>
      <c r="C5" s="86">
        <f t="shared" ref="C5:D5" si="1">(C4/B4)-1</f>
        <v>0.23</v>
      </c>
      <c r="D5" s="86">
        <f t="shared" si="1"/>
        <v>0.33</v>
      </c>
      <c r="E5" s="84"/>
      <c r="K5" s="88"/>
    </row>
    <row r="6">
      <c r="A6" s="84"/>
      <c r="B6" s="84"/>
      <c r="C6" s="84"/>
      <c r="D6" s="84"/>
      <c r="E6" s="84"/>
      <c r="K6" s="88"/>
      <c r="L6" s="71"/>
      <c r="M6" s="71"/>
      <c r="N6" s="71"/>
    </row>
    <row r="7">
      <c r="A7" s="84" t="s">
        <v>76</v>
      </c>
      <c r="B7" s="95">
        <v>0.035</v>
      </c>
      <c r="C7" s="84"/>
      <c r="D7" s="84"/>
      <c r="E7" s="84"/>
      <c r="K7" s="71"/>
      <c r="L7" s="71"/>
      <c r="M7" s="71"/>
      <c r="N7" s="71"/>
    </row>
    <row r="8">
      <c r="A8" s="84"/>
      <c r="B8" s="84"/>
      <c r="C8" s="84"/>
      <c r="D8" s="84"/>
      <c r="E8" s="84"/>
      <c r="K8" s="88"/>
      <c r="L8" s="71"/>
      <c r="M8" s="71"/>
      <c r="N8" s="71"/>
    </row>
    <row r="9">
      <c r="A9" s="84"/>
      <c r="B9" s="84"/>
      <c r="C9" s="84"/>
      <c r="D9" s="84"/>
      <c r="E9" s="84"/>
    </row>
    <row r="10">
      <c r="A10" s="84" t="s">
        <v>77</v>
      </c>
      <c r="B10" s="85">
        <f>B4</f>
        <v>23700</v>
      </c>
      <c r="C10" s="85">
        <f>C4/(1+B7)^1</f>
        <v>28165.21739</v>
      </c>
      <c r="D10" s="85">
        <f>D4/(1+B7)^2</f>
        <v>36192.98467</v>
      </c>
      <c r="E10" s="84"/>
    </row>
    <row r="11">
      <c r="A11" s="96" t="s">
        <v>78</v>
      </c>
      <c r="B11" s="84"/>
      <c r="C11" s="95">
        <f t="shared" ref="C11:D11" si="2">C10/B10-1</f>
        <v>0.1884057971</v>
      </c>
      <c r="D11" s="95">
        <f t="shared" si="2"/>
        <v>0.2850241546</v>
      </c>
      <c r="E11" s="84"/>
    </row>
    <row r="12">
      <c r="A12" s="84"/>
      <c r="B12" s="84"/>
      <c r="C12" s="84"/>
      <c r="D12" s="84"/>
      <c r="E12" s="84"/>
      <c r="K12" s="71"/>
      <c r="L12" s="71"/>
      <c r="M12" s="71"/>
      <c r="N12" s="71"/>
      <c r="O12" s="71"/>
      <c r="P12" s="71"/>
    </row>
    <row r="13">
      <c r="K13" s="71"/>
      <c r="L13" s="71"/>
      <c r="M13" s="71"/>
      <c r="N13" s="71"/>
      <c r="O13" s="71"/>
      <c r="P13" s="71"/>
    </row>
    <row r="14">
      <c r="K14" s="71"/>
      <c r="L14" s="71"/>
      <c r="M14" s="71"/>
      <c r="N14" s="71"/>
      <c r="O14" s="71"/>
      <c r="P14" s="71"/>
    </row>
    <row r="15">
      <c r="K15" s="89"/>
    </row>
    <row r="16">
      <c r="C16" s="56" t="s">
        <v>79</v>
      </c>
      <c r="D16" s="56" t="s">
        <v>80</v>
      </c>
      <c r="L16" s="71"/>
      <c r="M16" s="71"/>
      <c r="N16" s="71"/>
      <c r="O16" s="71"/>
      <c r="P16" s="71"/>
    </row>
    <row r="17">
      <c r="A17" s="56" t="s">
        <v>63</v>
      </c>
      <c r="B17" s="56">
        <v>0.0</v>
      </c>
      <c r="C17" s="56">
        <v>1.0</v>
      </c>
      <c r="D17" s="56">
        <v>2.0</v>
      </c>
      <c r="E17" s="56">
        <v>3.0</v>
      </c>
      <c r="L17" s="71"/>
      <c r="M17" s="71"/>
      <c r="N17" s="71"/>
      <c r="O17" s="71"/>
      <c r="P17" s="71"/>
    </row>
    <row r="18">
      <c r="A18" s="56" t="s">
        <v>64</v>
      </c>
      <c r="C18" s="71">
        <v>2300000.0</v>
      </c>
      <c r="D18" s="71">
        <v>2800000.0</v>
      </c>
      <c r="E18" s="71">
        <v>3300000.0</v>
      </c>
      <c r="K18" s="71"/>
    </row>
    <row r="19">
      <c r="A19" s="56" t="s">
        <v>61</v>
      </c>
      <c r="B19" s="88">
        <v>0.03</v>
      </c>
      <c r="K19" s="90"/>
    </row>
    <row r="20">
      <c r="A20" s="56" t="s">
        <v>65</v>
      </c>
      <c r="B20" s="88"/>
      <c r="C20" s="71">
        <f t="shared" ref="C20:E20" si="3">C18/(1+$B$19)^C17</f>
        <v>2233009.709</v>
      </c>
      <c r="D20" s="71">
        <f t="shared" si="3"/>
        <v>2639268.546</v>
      </c>
      <c r="E20" s="71">
        <f t="shared" si="3"/>
        <v>3019967.476</v>
      </c>
    </row>
    <row r="21" ht="15.75" customHeight="1">
      <c r="A21" s="56" t="s">
        <v>66</v>
      </c>
      <c r="B21" s="71">
        <f>SUM(C20:E20)</f>
        <v>7892245.73</v>
      </c>
      <c r="C21" s="71"/>
      <c r="D21" s="71"/>
      <c r="E21" s="71"/>
    </row>
    <row r="22" ht="15.75" customHeight="1">
      <c r="B22" s="88"/>
      <c r="C22" s="71"/>
      <c r="D22" s="71"/>
      <c r="E22" s="71"/>
    </row>
    <row r="23" ht="15.75" customHeight="1"/>
    <row r="24" ht="15.75" customHeight="1">
      <c r="B24" s="56" t="s">
        <v>81</v>
      </c>
      <c r="C24" s="56" t="s">
        <v>82</v>
      </c>
    </row>
    <row r="25" ht="15.75" customHeight="1">
      <c r="B25" s="56">
        <v>0.0</v>
      </c>
      <c r="C25" s="56">
        <v>1.0</v>
      </c>
      <c r="D25" s="56">
        <v>2.0</v>
      </c>
      <c r="E25" s="56">
        <v>3.0</v>
      </c>
      <c r="F25" s="56">
        <v>4.0</v>
      </c>
      <c r="G25" s="56">
        <v>5.0</v>
      </c>
      <c r="K25" s="71"/>
      <c r="L25" s="71"/>
      <c r="M25" s="71"/>
      <c r="N25" s="71"/>
      <c r="O25" s="71"/>
      <c r="P25" s="71"/>
    </row>
    <row r="26" ht="15.75" customHeight="1">
      <c r="A26" s="56" t="s">
        <v>67</v>
      </c>
      <c r="B26" s="71">
        <v>20000.0</v>
      </c>
      <c r="C26" s="71"/>
      <c r="D26" s="71"/>
      <c r="E26" s="71"/>
      <c r="F26" s="71"/>
      <c r="G26" s="71"/>
      <c r="K26" s="71"/>
      <c r="L26" s="71"/>
      <c r="M26" s="71"/>
      <c r="N26" s="71"/>
      <c r="O26" s="71"/>
      <c r="P26" s="71"/>
    </row>
    <row r="27" ht="15.75" customHeight="1">
      <c r="B27" s="71"/>
      <c r="C27" s="71"/>
      <c r="D27" s="71"/>
      <c r="E27" s="71"/>
      <c r="F27" s="71"/>
      <c r="G27" s="71"/>
      <c r="K27" s="71"/>
      <c r="L27" s="71"/>
      <c r="M27" s="71"/>
      <c r="N27" s="71"/>
      <c r="O27" s="71"/>
      <c r="P27" s="71"/>
    </row>
    <row r="28" ht="15.75" customHeight="1">
      <c r="A28" s="56" t="s">
        <v>64</v>
      </c>
      <c r="B28" s="71"/>
      <c r="C28" s="71">
        <v>5000.0</v>
      </c>
      <c r="D28" s="71">
        <v>3000.0</v>
      </c>
      <c r="E28" s="71">
        <v>7000.0</v>
      </c>
      <c r="F28" s="71">
        <v>5000.0</v>
      </c>
      <c r="G28" s="71">
        <v>1000.0</v>
      </c>
      <c r="K28" s="89"/>
    </row>
    <row r="29" ht="15.75" customHeight="1">
      <c r="A29" s="56" t="s">
        <v>68</v>
      </c>
      <c r="B29" s="89">
        <v>0.03</v>
      </c>
      <c r="L29" s="71"/>
      <c r="M29" s="71"/>
      <c r="N29" s="71"/>
      <c r="O29" s="71"/>
      <c r="P29" s="71"/>
    </row>
    <row r="30" ht="15.75" customHeight="1">
      <c r="A30" s="56" t="s">
        <v>65</v>
      </c>
      <c r="C30" s="71">
        <f t="shared" ref="C30:G30" si="4">C28/(1+$B$29)^C25</f>
        <v>4854.368932</v>
      </c>
      <c r="D30" s="71">
        <f t="shared" si="4"/>
        <v>2827.787727</v>
      </c>
      <c r="E30" s="71">
        <f t="shared" si="4"/>
        <v>6405.991615</v>
      </c>
      <c r="F30" s="71">
        <f t="shared" si="4"/>
        <v>4442.43524</v>
      </c>
      <c r="G30" s="71">
        <f t="shared" si="4"/>
        <v>862.6087844</v>
      </c>
      <c r="L30" s="71"/>
      <c r="M30" s="71"/>
      <c r="N30" s="71"/>
      <c r="O30" s="71"/>
      <c r="P30" s="71"/>
    </row>
    <row r="31" ht="15.75" customHeight="1">
      <c r="C31" s="71"/>
      <c r="D31" s="71"/>
      <c r="E31" s="71"/>
      <c r="F31" s="71"/>
      <c r="G31" s="71"/>
      <c r="K31" s="71"/>
      <c r="L31" s="71"/>
      <c r="M31" s="71"/>
      <c r="N31" s="71"/>
      <c r="O31" s="71"/>
      <c r="P31" s="71"/>
    </row>
    <row r="32" ht="15.75" customHeight="1">
      <c r="A32" s="56" t="s">
        <v>66</v>
      </c>
      <c r="B32" s="71">
        <f>SUM(C30:G30)</f>
        <v>19393.1923</v>
      </c>
      <c r="K32" s="71"/>
    </row>
    <row r="33" ht="15.75" customHeight="1">
      <c r="A33" s="56" t="s">
        <v>69</v>
      </c>
      <c r="B33" s="90">
        <f>B32-B26</f>
        <v>-606.8077011</v>
      </c>
      <c r="K33" s="90"/>
    </row>
    <row r="34" ht="15.75" customHeight="1"/>
    <row r="35" ht="15.75" customHeight="1"/>
    <row r="36" ht="15.75" customHeight="1">
      <c r="B36" s="56" t="s">
        <v>83</v>
      </c>
      <c r="C36" s="56" t="s">
        <v>84</v>
      </c>
    </row>
    <row r="37" ht="15.75" customHeight="1"/>
    <row r="38" ht="15.75" customHeight="1">
      <c r="B38" s="56">
        <v>0.0</v>
      </c>
      <c r="C38" s="56">
        <v>1.0</v>
      </c>
      <c r="D38" s="56">
        <v>2.0</v>
      </c>
      <c r="E38" s="56">
        <v>3.0</v>
      </c>
      <c r="F38" s="56">
        <v>4.0</v>
      </c>
      <c r="G38" s="56">
        <v>5.0</v>
      </c>
    </row>
    <row r="39" ht="15.75" customHeight="1">
      <c r="A39" s="56" t="s">
        <v>67</v>
      </c>
      <c r="B39" s="71">
        <v>20000.0</v>
      </c>
      <c r="C39" s="71"/>
      <c r="D39" s="71"/>
      <c r="E39" s="71"/>
      <c r="F39" s="71"/>
      <c r="G39" s="71"/>
    </row>
    <row r="40" ht="15.75" customHeight="1">
      <c r="A40" s="56" t="s">
        <v>70</v>
      </c>
      <c r="B40" s="71"/>
      <c r="C40" s="71"/>
      <c r="D40" s="71"/>
      <c r="E40" s="71"/>
      <c r="F40" s="71"/>
      <c r="G40" s="71">
        <v>20000.0</v>
      </c>
    </row>
    <row r="41" ht="15.75" customHeight="1">
      <c r="A41" s="56" t="s">
        <v>71</v>
      </c>
      <c r="B41" s="71"/>
      <c r="C41" s="71">
        <f t="shared" ref="C41:G41" si="5">$B$39*0.01</f>
        <v>200</v>
      </c>
      <c r="D41" s="71">
        <f t="shared" si="5"/>
        <v>200</v>
      </c>
      <c r="E41" s="71">
        <f t="shared" si="5"/>
        <v>200</v>
      </c>
      <c r="F41" s="71">
        <f t="shared" si="5"/>
        <v>200</v>
      </c>
      <c r="G41" s="71">
        <f t="shared" si="5"/>
        <v>200</v>
      </c>
    </row>
    <row r="42" ht="15.75" customHeight="1">
      <c r="A42" s="56" t="s">
        <v>68</v>
      </c>
      <c r="B42" s="89">
        <v>0.03</v>
      </c>
    </row>
    <row r="43" ht="15.75" customHeight="1">
      <c r="A43" s="56" t="s">
        <v>65</v>
      </c>
      <c r="C43" s="71">
        <f t="shared" ref="C43:G43" si="6">C41/(1+$B$29)^C38</f>
        <v>194.1747573</v>
      </c>
      <c r="D43" s="71">
        <f t="shared" si="6"/>
        <v>188.5191818</v>
      </c>
      <c r="E43" s="71">
        <f t="shared" si="6"/>
        <v>183.0283319</v>
      </c>
      <c r="F43" s="71">
        <f t="shared" si="6"/>
        <v>177.6974096</v>
      </c>
      <c r="G43" s="71">
        <f t="shared" si="6"/>
        <v>172.5217569</v>
      </c>
    </row>
    <row r="44" ht="15.75" customHeight="1">
      <c r="C44" s="71"/>
      <c r="D44" s="71"/>
      <c r="E44" s="71"/>
      <c r="F44" s="71"/>
      <c r="G44" s="71"/>
    </row>
    <row r="45" ht="15.75" customHeight="1">
      <c r="A45" s="56" t="s">
        <v>72</v>
      </c>
      <c r="B45" s="71">
        <f>SUM(C43:G43)</f>
        <v>915.9414374</v>
      </c>
      <c r="C45" s="71"/>
      <c r="D45" s="71"/>
      <c r="E45" s="71"/>
      <c r="F45" s="71"/>
      <c r="G45" s="71"/>
    </row>
    <row r="46" ht="15.75" customHeight="1">
      <c r="A46" s="56" t="s">
        <v>73</v>
      </c>
      <c r="B46" s="71">
        <f>G40/(1+B42)^5</f>
        <v>17252.17569</v>
      </c>
    </row>
    <row r="47" ht="15.75" customHeight="1">
      <c r="A47" s="56" t="s">
        <v>69</v>
      </c>
      <c r="B47" s="90">
        <f>B45+B46-B39</f>
        <v>-1831.882875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D2"/>
  </mergeCells>
  <printOptions/>
  <pageMargins bottom="0.75" footer="0.0" header="0.0" left="0.7" right="0.7" top="0.75"/>
  <pageSetup orientation="landscape"/>
  <drawing r:id="rId1"/>
</worksheet>
</file>